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CUENTA PUBLICA 2022\EXCEL Y PDF\"/>
    </mc:Choice>
  </mc:AlternateContent>
  <xr:revisionPtr revIDLastSave="0" documentId="13_ncr:1_{0EC1460C-3A7E-46C4-BF7A-A7BC57CB7480}" xr6:coauthVersionLast="45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IGOO" sheetId="2" r:id="rId1"/>
  </sheets>
  <externalReferences>
    <externalReference r:id="rId2"/>
  </externalReferences>
  <definedNames>
    <definedName name="Admin.">'[1]Gastos de Admin.'!$H$234</definedName>
    <definedName name="_xlnm.Extract">#REF!</definedName>
    <definedName name="_xlnm.Print_Area" localSheetId="0">PIGOO!$A$1:$R$204</definedName>
    <definedName name="Comerc.">#REF!</definedName>
    <definedName name="Egresos">#REF!</definedName>
    <definedName name="Grales.">#REF!</definedName>
    <definedName name="ing">#REF!</definedName>
    <definedName name="Ingresos">#REF!</definedName>
    <definedName name="inv">#REF!</definedName>
    <definedName name="Inversiones">#REF!</definedName>
    <definedName name="Op.Mant.">#REF!</definedName>
    <definedName name="_xlnm.Print_Titles" localSheetId="0">PIGOO!$9:$10</definedName>
    <definedName name="Tot.Gastos">#REF!</definedName>
    <definedName name="xxx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6" i="2" l="1"/>
  <c r="L86" i="2"/>
  <c r="M29" i="2"/>
  <c r="M26" i="2"/>
  <c r="M15" i="2" l="1"/>
  <c r="N202" i="2" l="1"/>
  <c r="N201" i="2"/>
  <c r="N199" i="2"/>
  <c r="N198" i="2"/>
  <c r="N197" i="2"/>
  <c r="N191" i="2"/>
  <c r="J142" i="2"/>
  <c r="K142" i="2"/>
  <c r="L66" i="2"/>
  <c r="K52" i="2" l="1"/>
  <c r="K57" i="2"/>
  <c r="L57" i="2"/>
  <c r="L52" i="2"/>
  <c r="L29" i="2"/>
  <c r="L15" i="2"/>
  <c r="N16" i="2"/>
  <c r="N17" i="2"/>
  <c r="K29" i="2" l="1"/>
  <c r="K15" i="2" l="1"/>
  <c r="K66" i="2"/>
  <c r="J66" i="2"/>
  <c r="J57" i="2" l="1"/>
  <c r="J52" i="2"/>
  <c r="J29" i="2"/>
  <c r="J15" i="2"/>
  <c r="I104" i="2" l="1"/>
  <c r="I103" i="2"/>
  <c r="I101" i="2"/>
  <c r="I100" i="2"/>
  <c r="I142" i="2" l="1"/>
  <c r="H104" i="2" l="1"/>
  <c r="H103" i="2"/>
  <c r="H101" i="2"/>
  <c r="H100" i="2"/>
  <c r="I66" i="2"/>
  <c r="I57" i="2" l="1"/>
  <c r="I52" i="2"/>
  <c r="I29" i="2"/>
  <c r="I15" i="2"/>
  <c r="H142" i="2"/>
  <c r="H57" i="2"/>
  <c r="H52" i="2"/>
  <c r="H15" i="2"/>
  <c r="G52" i="2"/>
  <c r="G142" i="2"/>
  <c r="G36" i="2"/>
  <c r="G29" i="2" l="1"/>
  <c r="G15" i="2"/>
  <c r="F142" i="2"/>
  <c r="F57" i="2" l="1"/>
  <c r="F52" i="2"/>
  <c r="F29" i="2"/>
  <c r="F15" i="2"/>
  <c r="E142" i="2"/>
  <c r="C142" i="2"/>
  <c r="B142" i="2"/>
  <c r="D142" i="2"/>
  <c r="E66" i="2"/>
  <c r="E57" i="2" l="1"/>
  <c r="E52" i="2"/>
  <c r="E29" i="2"/>
  <c r="E15" i="2" l="1"/>
  <c r="D29" i="2" l="1"/>
  <c r="D19" i="2"/>
  <c r="D15" i="2"/>
  <c r="E79" i="2"/>
  <c r="F79" i="2"/>
  <c r="G79" i="2"/>
  <c r="H79" i="2"/>
  <c r="I79" i="2"/>
  <c r="J79" i="2"/>
  <c r="K79" i="2"/>
  <c r="L79" i="2"/>
  <c r="M79" i="2"/>
  <c r="D79" i="2"/>
  <c r="B79" i="2"/>
  <c r="C79" i="2"/>
  <c r="D57" i="2" l="1"/>
  <c r="D52" i="2"/>
  <c r="C52" i="2"/>
  <c r="C57" i="2"/>
  <c r="C19" i="2"/>
  <c r="B66" i="2"/>
  <c r="B57" i="2" l="1"/>
  <c r="B52" i="2"/>
  <c r="O28" i="2" l="1"/>
  <c r="O25" i="2" s="1"/>
  <c r="O22" i="2" s="1"/>
  <c r="O34" i="2"/>
  <c r="O15" i="2"/>
  <c r="O21" i="2" l="1"/>
  <c r="C25" i="2"/>
  <c r="C22" i="2" s="1"/>
  <c r="D25" i="2"/>
  <c r="D22" i="2" s="1"/>
  <c r="E25" i="2"/>
  <c r="E22" i="2" s="1"/>
  <c r="F25" i="2"/>
  <c r="F22" i="2" s="1"/>
  <c r="G25" i="2"/>
  <c r="G22" i="2" s="1"/>
  <c r="H25" i="2"/>
  <c r="H22" i="2" s="1"/>
  <c r="I25" i="2"/>
  <c r="I22" i="2" s="1"/>
  <c r="J25" i="2"/>
  <c r="J22" i="2" s="1"/>
  <c r="K25" i="2"/>
  <c r="K22" i="2" s="1"/>
  <c r="L25" i="2"/>
  <c r="L22" i="2" s="1"/>
  <c r="M25" i="2"/>
  <c r="M22" i="2" s="1"/>
  <c r="B29" i="2"/>
  <c r="B25" i="2" s="1"/>
  <c r="B22" i="2" s="1"/>
  <c r="B15" i="2"/>
  <c r="N26" i="2" l="1"/>
  <c r="N167" i="2" l="1"/>
  <c r="M51" i="2" l="1"/>
  <c r="G51" i="2" l="1"/>
  <c r="G186" i="2"/>
  <c r="H186" i="2"/>
  <c r="I186" i="2"/>
  <c r="J186" i="2"/>
  <c r="K186" i="2"/>
  <c r="L186" i="2"/>
  <c r="M186" i="2"/>
  <c r="C173" i="2"/>
  <c r="D173" i="2"/>
  <c r="E173" i="2"/>
  <c r="F173" i="2"/>
  <c r="G173" i="2"/>
  <c r="H173" i="2"/>
  <c r="I173" i="2"/>
  <c r="J173" i="2"/>
  <c r="K173" i="2"/>
  <c r="L173" i="2"/>
  <c r="M173" i="2"/>
  <c r="J138" i="2"/>
  <c r="K138" i="2"/>
  <c r="L138" i="2"/>
  <c r="M138" i="2"/>
  <c r="J131" i="2"/>
  <c r="K131" i="2"/>
  <c r="L131" i="2"/>
  <c r="M131" i="2"/>
  <c r="M130" i="2" s="1"/>
  <c r="D112" i="2"/>
  <c r="D111" i="2" s="1"/>
  <c r="D203" i="2" s="1"/>
  <c r="E112" i="2"/>
  <c r="E111" i="2" s="1"/>
  <c r="E203" i="2" s="1"/>
  <c r="F112" i="2"/>
  <c r="F111" i="2" s="1"/>
  <c r="F203" i="2" s="1"/>
  <c r="G112" i="2"/>
  <c r="G111" i="2" s="1"/>
  <c r="H112" i="2"/>
  <c r="H111" i="2" s="1"/>
  <c r="H203" i="2" s="1"/>
  <c r="I112" i="2"/>
  <c r="I111" i="2" s="1"/>
  <c r="I203" i="2" s="1"/>
  <c r="J112" i="2"/>
  <c r="J111" i="2" s="1"/>
  <c r="J203" i="2" s="1"/>
  <c r="K112" i="2"/>
  <c r="K111" i="2" s="1"/>
  <c r="K203" i="2" s="1"/>
  <c r="L112" i="2"/>
  <c r="L111" i="2" s="1"/>
  <c r="M112" i="2"/>
  <c r="M111" i="2" s="1"/>
  <c r="B99" i="2"/>
  <c r="M99" i="2"/>
  <c r="D92" i="2"/>
  <c r="E92" i="2"/>
  <c r="F92" i="2"/>
  <c r="G92" i="2"/>
  <c r="H92" i="2"/>
  <c r="I92" i="2"/>
  <c r="J92" i="2"/>
  <c r="K92" i="2"/>
  <c r="L92" i="2"/>
  <c r="M92" i="2"/>
  <c r="B92" i="2"/>
  <c r="E71" i="2"/>
  <c r="F71" i="2"/>
  <c r="G71" i="2"/>
  <c r="H71" i="2"/>
  <c r="I71" i="2"/>
  <c r="J71" i="2"/>
  <c r="K71" i="2"/>
  <c r="L71" i="2"/>
  <c r="M71" i="2"/>
  <c r="G65" i="2"/>
  <c r="H65" i="2"/>
  <c r="I65" i="2"/>
  <c r="J65" i="2"/>
  <c r="K65" i="2"/>
  <c r="L65" i="2"/>
  <c r="M65" i="2"/>
  <c r="C41" i="2"/>
  <c r="E41" i="2"/>
  <c r="F41" i="2"/>
  <c r="G41" i="2"/>
  <c r="L41" i="2"/>
  <c r="M34" i="2"/>
  <c r="M21" i="2" s="1"/>
  <c r="J34" i="2"/>
  <c r="E34" i="2"/>
  <c r="F34" i="2"/>
  <c r="G34" i="2"/>
  <c r="H34" i="2"/>
  <c r="E13" i="2"/>
  <c r="E12" i="2" s="1"/>
  <c r="F13" i="2"/>
  <c r="F12" i="2" s="1"/>
  <c r="G13" i="2"/>
  <c r="G12" i="2" s="1"/>
  <c r="H13" i="2"/>
  <c r="H12" i="2" s="1"/>
  <c r="I13" i="2"/>
  <c r="I12" i="2" s="1"/>
  <c r="J13" i="2"/>
  <c r="J12" i="2" s="1"/>
  <c r="K13" i="2"/>
  <c r="K12" i="2" s="1"/>
  <c r="L13" i="2"/>
  <c r="L12" i="2" s="1"/>
  <c r="M13" i="2"/>
  <c r="M12" i="2" s="1"/>
  <c r="N203" i="2" l="1"/>
  <c r="J11" i="2"/>
  <c r="J32" i="2" s="1"/>
  <c r="J38" i="2" s="1"/>
  <c r="E11" i="2"/>
  <c r="E32" i="2" s="1"/>
  <c r="E38" i="2" s="1"/>
  <c r="G11" i="2"/>
  <c r="F11" i="2"/>
  <c r="M11" i="2"/>
  <c r="M32" i="2" s="1"/>
  <c r="M38" i="2" s="1"/>
  <c r="L11" i="2"/>
  <c r="K11" i="2"/>
  <c r="E127" i="2"/>
  <c r="J127" i="2"/>
  <c r="M127" i="2"/>
  <c r="F56" i="2" l="1"/>
  <c r="G56" i="2"/>
  <c r="H56" i="2"/>
  <c r="I56" i="2"/>
  <c r="J56" i="2"/>
  <c r="K56" i="2"/>
  <c r="L56" i="2"/>
  <c r="M56" i="2"/>
  <c r="E56" i="2"/>
  <c r="F186" i="2" l="1"/>
  <c r="E186" i="2"/>
  <c r="D186" i="2"/>
  <c r="C186" i="2"/>
  <c r="B186" i="2"/>
  <c r="B173" i="2"/>
  <c r="K152" i="2"/>
  <c r="I152" i="2"/>
  <c r="H152" i="2"/>
  <c r="D152" i="2"/>
  <c r="C152" i="2"/>
  <c r="I138" i="2"/>
  <c r="H138" i="2"/>
  <c r="G138" i="2"/>
  <c r="F138" i="2"/>
  <c r="E138" i="2"/>
  <c r="D138" i="2"/>
  <c r="C138" i="2"/>
  <c r="B138" i="2"/>
  <c r="R132" i="2"/>
  <c r="R131" i="2" s="1"/>
  <c r="Q132" i="2"/>
  <c r="Q131" i="2" s="1"/>
  <c r="P132" i="2"/>
  <c r="P131" i="2" s="1"/>
  <c r="O132" i="2"/>
  <c r="O131" i="2" s="1"/>
  <c r="N132" i="2"/>
  <c r="K130" i="2"/>
  <c r="I131" i="2"/>
  <c r="I130" i="2" s="1"/>
  <c r="H131" i="2"/>
  <c r="H130" i="2" s="1"/>
  <c r="G131" i="2"/>
  <c r="G130" i="2" s="1"/>
  <c r="F131" i="2"/>
  <c r="F130" i="2" s="1"/>
  <c r="E131" i="2"/>
  <c r="E130" i="2" s="1"/>
  <c r="D131" i="2"/>
  <c r="D130" i="2" s="1"/>
  <c r="C131" i="2"/>
  <c r="C130" i="2" s="1"/>
  <c r="B131" i="2"/>
  <c r="L130" i="2"/>
  <c r="J130" i="2"/>
  <c r="D127" i="2"/>
  <c r="C112" i="2"/>
  <c r="C111" i="2" s="1"/>
  <c r="B112" i="2"/>
  <c r="B111" i="2" s="1"/>
  <c r="B127" i="2" s="1"/>
  <c r="L127" i="2"/>
  <c r="K127" i="2"/>
  <c r="G127" i="2"/>
  <c r="F127" i="2"/>
  <c r="L99" i="2"/>
  <c r="K99" i="2"/>
  <c r="J99" i="2"/>
  <c r="I99" i="2"/>
  <c r="H99" i="2"/>
  <c r="G99" i="2"/>
  <c r="F99" i="2"/>
  <c r="E99" i="2"/>
  <c r="D99" i="2"/>
  <c r="C99" i="2"/>
  <c r="C92" i="2"/>
  <c r="N92" i="2" s="1"/>
  <c r="N81" i="2"/>
  <c r="N80" i="2"/>
  <c r="N76" i="2"/>
  <c r="N75" i="2"/>
  <c r="N74" i="2"/>
  <c r="N73" i="2"/>
  <c r="N72" i="2"/>
  <c r="D71" i="2"/>
  <c r="C71" i="2"/>
  <c r="F65" i="2"/>
  <c r="E65" i="2"/>
  <c r="D65" i="2"/>
  <c r="C65" i="2"/>
  <c r="B65" i="2"/>
  <c r="D56" i="2"/>
  <c r="C56" i="2"/>
  <c r="B56" i="2"/>
  <c r="L51" i="2"/>
  <c r="K51" i="2"/>
  <c r="J51" i="2"/>
  <c r="I51" i="2"/>
  <c r="H51" i="2"/>
  <c r="F51" i="2"/>
  <c r="E51" i="2"/>
  <c r="D51" i="2"/>
  <c r="C51" i="2"/>
  <c r="B51" i="2"/>
  <c r="K41" i="2"/>
  <c r="J41" i="2"/>
  <c r="I41" i="2"/>
  <c r="H41" i="2"/>
  <c r="B41" i="2"/>
  <c r="N39" i="2"/>
  <c r="N36" i="2"/>
  <c r="L34" i="2"/>
  <c r="K34" i="2"/>
  <c r="I34" i="2"/>
  <c r="D34" i="2"/>
  <c r="D21" i="2" s="1"/>
  <c r="C34" i="2"/>
  <c r="C21" i="2" s="1"/>
  <c r="B34" i="2"/>
  <c r="B21" i="2" s="1"/>
  <c r="N29" i="2"/>
  <c r="N28" i="2"/>
  <c r="N27" i="2"/>
  <c r="H21" i="2"/>
  <c r="N24" i="2"/>
  <c r="N23" i="2"/>
  <c r="J21" i="2"/>
  <c r="G21" i="2"/>
  <c r="F21" i="2"/>
  <c r="R20" i="2"/>
  <c r="P34" i="2" s="1"/>
  <c r="N19" i="2"/>
  <c r="N18" i="2"/>
  <c r="N15" i="2"/>
  <c r="N14" i="2"/>
  <c r="O13" i="2"/>
  <c r="O12" i="2" s="1"/>
  <c r="O11" i="2" s="1"/>
  <c r="L32" i="2"/>
  <c r="D13" i="2"/>
  <c r="D12" i="2" s="1"/>
  <c r="C13" i="2"/>
  <c r="C12" i="2" s="1"/>
  <c r="B13" i="2"/>
  <c r="K32" i="2"/>
  <c r="I11" i="2"/>
  <c r="I32" i="2" s="1"/>
  <c r="H11" i="2"/>
  <c r="H32" i="2" s="1"/>
  <c r="H38" i="2" s="1"/>
  <c r="F32" i="2"/>
  <c r="F38" i="2" s="1"/>
  <c r="G32" i="2"/>
  <c r="G38" i="2" s="1"/>
  <c r="B12" i="2" l="1"/>
  <c r="B11" i="2" s="1"/>
  <c r="B32" i="2" s="1"/>
  <c r="B38" i="2" s="1"/>
  <c r="C11" i="2"/>
  <c r="C32" i="2" s="1"/>
  <c r="C38" i="2" s="1"/>
  <c r="K38" i="2"/>
  <c r="L38" i="2"/>
  <c r="L21" i="2"/>
  <c r="I38" i="2"/>
  <c r="I21" i="2"/>
  <c r="K21" i="2"/>
  <c r="N51" i="2"/>
  <c r="N111" i="2"/>
  <c r="D11" i="2"/>
  <c r="D32" i="2" s="1"/>
  <c r="D38" i="2" s="1"/>
  <c r="N99" i="2"/>
  <c r="N131" i="2"/>
  <c r="O32" i="2"/>
  <c r="O38" i="2" s="1"/>
  <c r="N186" i="2"/>
  <c r="N138" i="2"/>
  <c r="B130" i="2"/>
  <c r="N65" i="2"/>
  <c r="N56" i="2"/>
  <c r="I127" i="2"/>
  <c r="C127" i="2"/>
  <c r="H127" i="2"/>
  <c r="N71" i="2"/>
  <c r="N25" i="2"/>
  <c r="N22" i="2" s="1"/>
  <c r="P33" i="2"/>
  <c r="Q33" i="2" s="1"/>
  <c r="R33" i="2" s="1"/>
  <c r="N34" i="2"/>
  <c r="Q34" i="2" s="1"/>
  <c r="R34" i="2" s="1"/>
  <c r="N79" i="2"/>
  <c r="N13" i="2"/>
  <c r="B71" i="2"/>
  <c r="P23" i="2"/>
  <c r="Q23" i="2" s="1"/>
  <c r="P16" i="2"/>
  <c r="Q16" i="2" s="1"/>
  <c r="R16" i="2" s="1"/>
  <c r="P19" i="2"/>
  <c r="Q19" i="2" s="1"/>
  <c r="R19" i="2" s="1"/>
  <c r="P29" i="2"/>
  <c r="Q29" i="2" s="1"/>
  <c r="O39" i="2"/>
  <c r="P39" i="2" s="1"/>
  <c r="P30" i="2"/>
  <c r="Q30" i="2" s="1"/>
  <c r="P24" i="2"/>
  <c r="Q24" i="2" s="1"/>
  <c r="R24" i="2" s="1"/>
  <c r="P14" i="2"/>
  <c r="P17" i="2"/>
  <c r="Q17" i="2" s="1"/>
  <c r="R17" i="2" s="1"/>
  <c r="P26" i="2"/>
  <c r="E21" i="2"/>
  <c r="P27" i="2"/>
  <c r="Q27" i="2" s="1"/>
  <c r="R27" i="2" s="1"/>
  <c r="P15" i="2"/>
  <c r="Q15" i="2" s="1"/>
  <c r="R15" i="2" s="1"/>
  <c r="Q39" i="2" l="1"/>
  <c r="N21" i="2"/>
  <c r="P13" i="2"/>
  <c r="Q13" i="2" s="1"/>
  <c r="R13" i="2" s="1"/>
  <c r="P18" i="2"/>
  <c r="Q18" i="2" s="1"/>
  <c r="R23" i="2"/>
  <c r="N12" i="2"/>
  <c r="Q14" i="2"/>
  <c r="R14" i="2" s="1"/>
  <c r="P25" i="2"/>
  <c r="Q25" i="2" s="1"/>
  <c r="R25" i="2" s="1"/>
  <c r="Q26" i="2"/>
  <c r="P12" i="2" l="1"/>
  <c r="P11" i="2" s="1"/>
  <c r="N11" i="2"/>
  <c r="P22" i="2"/>
  <c r="Q12" i="2" l="1"/>
  <c r="R12" i="2" s="1"/>
  <c r="P21" i="2"/>
  <c r="Q21" i="2" s="1"/>
  <c r="R21" i="2" s="1"/>
  <c r="Q22" i="2"/>
  <c r="R22" i="2" s="1"/>
  <c r="N32" i="2"/>
  <c r="Q11" i="2"/>
  <c r="R11" i="2" s="1"/>
  <c r="P32" i="2"/>
  <c r="P38" i="2" s="1"/>
  <c r="N38" i="2" l="1"/>
  <c r="Q38" i="2" s="1"/>
  <c r="Q32" i="2"/>
  <c r="R3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MANUELVAL</author>
    <author>JMAS</author>
    <author>Manuel Vega Navarrate</author>
    <author>Autor</author>
  </authors>
  <commentList>
    <comment ref="A11" authorId="0" shapeId="0" xr:uid="{065D7AD7-D9D5-4B1A-B923-2150E286CAB9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EXTRAER INFORMACION DE ESTADOS FINANCIEROS Y BALANZA … </t>
        </r>
        <r>
          <rPr>
            <b/>
            <sz val="9"/>
            <color indexed="81"/>
            <rFont val="Tahoma"/>
            <family val="2"/>
          </rPr>
          <t>EN CASO DE CONSIDERAR LAS BONIFICACIONES Y DESCUENTOS COMO GASTO FAVOR DE CLASIFICARLOS DES PUES DE INGRESOS COMO EL FORMATO Y QUITARLO A LOS GASTOS. DEBERÁ CHECAR CON SU ESTADO DE RESULTADOS</t>
        </r>
      </text>
    </comment>
    <comment ref="C19" authorId="1" shapeId="0" xr:uid="{30B9B743-7369-4436-B779-10ED212E9EBA}">
      <text>
        <r>
          <rPr>
            <b/>
            <sz val="9"/>
            <color indexed="81"/>
            <rFont val="Tahoma"/>
            <family val="2"/>
          </rPr>
          <t>JMAS:29,175 apoyo convenio compra manguera ej Heroinas transf y asignciones</t>
        </r>
      </text>
    </comment>
    <comment ref="D19" authorId="1" shapeId="0" xr:uid="{61EA4FA3-C834-4B64-922C-550E68206AB3}">
      <text>
        <r>
          <rPr>
            <b/>
            <sz val="9"/>
            <color indexed="81"/>
            <rFont val="Tahoma"/>
            <family val="2"/>
          </rPr>
          <t>JMAS:
DEVOLUCION DE PRODDER 2021</t>
        </r>
      </text>
    </comment>
    <comment ref="A33" authorId="0" shapeId="0" xr:uid="{FE1D217D-B3A5-4C21-A946-EBA4523932D5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ESTA PAGANDO CREDITOS CONTRACTUALES</t>
        </r>
      </text>
    </comment>
    <comment ref="A34" authorId="0" shapeId="0" xr:uid="{6F53D4D3-AC53-468A-A3EF-74E7C15944CC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INVERSIONES REALIZADAS CON RECURSOS PROPIOS DENTRO DEL MES
</t>
        </r>
      </text>
    </comment>
    <comment ref="F36" authorId="1" shapeId="0" xr:uid="{60123A1E-0847-4651-8AED-DF7D2DE6685D}">
      <text>
        <r>
          <rPr>
            <b/>
            <sz val="9"/>
            <color indexed="81"/>
            <rFont val="Tahoma"/>
            <family val="2"/>
          </rPr>
          <t>JMAS:</t>
        </r>
        <r>
          <rPr>
            <sz val="9"/>
            <color indexed="81"/>
            <rFont val="Tahoma"/>
            <family val="2"/>
          </rPr>
          <t xml:space="preserve">
RECUNSTRUCCION Y REMODELACION DE CAJA DE VALVULAS POR LA CALLE INDEPENDENCIA Y CJN MORELOS</t>
        </r>
      </text>
    </comment>
    <comment ref="G36" authorId="1" shapeId="0" xr:uid="{99C849AE-74ED-404D-B4B1-CE4C2D10745B}">
      <text>
        <r>
          <rPr>
            <b/>
            <sz val="9"/>
            <color indexed="81"/>
            <rFont val="Tahoma"/>
            <family val="2"/>
          </rPr>
          <t>JMAS:</t>
        </r>
        <r>
          <rPr>
            <sz val="9"/>
            <color indexed="81"/>
            <rFont val="Tahoma"/>
            <family val="2"/>
          </rPr>
          <t xml:space="preserve">
49,380 COMPRA DE EQ. DE COMPUTO,
32,945 ANTICIPO A OBRA 002-2022JMASCG</t>
        </r>
      </text>
    </comment>
    <comment ref="H36" authorId="1" shapeId="0" xr:uid="{1FCC6BFF-32BC-48A6-A23E-351887E6D108}">
      <text>
        <r>
          <rPr>
            <b/>
            <sz val="9"/>
            <color indexed="81"/>
            <rFont val="Tahoma"/>
            <family val="2"/>
          </rPr>
          <t>JMAS:</t>
        </r>
        <r>
          <rPr>
            <sz val="9"/>
            <color indexed="81"/>
            <rFont val="Tahoma"/>
            <family val="2"/>
          </rPr>
          <t xml:space="preserve">
OBRA 002-2022JMASCG</t>
        </r>
      </text>
    </comment>
    <comment ref="A40" authorId="0" shapeId="0" xr:uid="{ABBAA34C-19D2-463D-A3EE-393A1DC38BD6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SU BALANCE GENERAL O ESTADO DE SITUACIÓN FINANCIERA
</t>
        </r>
      </text>
    </comment>
    <comment ref="A51" authorId="0" shapeId="0" xr:uid="{5FF77A7D-5D14-4AA4-8B0C-37AE5416B96E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 LOS RECIBOS DE ENERGIA ELECTRICA CFE</t>
        </r>
      </text>
    </comment>
    <comment ref="I51" authorId="2" shapeId="0" xr:uid="{B0F22814-89CF-451B-A43F-6A235126BEDA}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J51" authorId="2" shapeId="0" xr:uid="{3DB6A905-8EF8-4BFC-B404-CBCAA0EED69F}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K51" authorId="2" shapeId="0" xr:uid="{1033BAF7-2D09-44BE-A9DF-A1A8C08AD27E}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L51" authorId="2" shapeId="0" xr:uid="{E8A12871-012F-4231-B044-5C213DBD8E07}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A56" authorId="0" shapeId="0" xr:uid="{B800DA6E-4D7A-4380-A63F-A9CE418D60E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 LOS RECIBOS DE ENERGÍA ELÉCTRICA CFE</t>
        </r>
      </text>
    </comment>
    <comment ref="A61" authorId="0" shapeId="0" xr:uid="{961419B0-782F-46E2-9353-1BEB85C06081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EXISTE EL PLAN DE REALIZARLO  DE LO CONTRARIO SOLO PONER N/A
</t>
        </r>
      </text>
    </comment>
    <comment ref="A62" authorId="0" shapeId="0" xr:uid="{83845681-7472-4A72-A09E-237C234408F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EXISTE EL PLAN DE REALIZARLO  DE LO CONTRARIO SOLO PONER N/A</t>
        </r>
      </text>
    </comment>
    <comment ref="A65" authorId="0" shapeId="0" xr:uid="{8DF3FED9-520C-4A81-936F-1F9429B84CD8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BITACORAS DE MEDICION DE LAS FUENTES POR TIPO
</t>
        </r>
      </text>
    </comment>
    <comment ref="A71" authorId="0" shapeId="0" xr:uid="{48BCB363-519B-4FFF-A144-8AA5E4814E6F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SU RESUMEN OPERATIVO POR TIPO DE USUARIO
</t>
        </r>
      </text>
    </comment>
    <comment ref="A79" authorId="0" shapeId="0" xr:uid="{AA299641-B322-4352-8FAA-9225E3CECA4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LECTRURA CEL O COMERCIAL</t>
        </r>
      </text>
    </comment>
    <comment ref="A84" authorId="0" shapeId="0" xr:uid="{332F6ADD-A96E-47A0-AAC8-EB6E56A8FFE7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BITACORAS DE LECTURA DE  MEDICIÓN EN LA PLANTA TRATADORA O ESTIMADO.</t>
        </r>
      </text>
    </comment>
    <comment ref="A91" authorId="0" shapeId="0" xr:uid="{F3047191-A605-4125-90DA-A260FA8B74B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 PARA LO FACTURADO Y COBRADO EN $</t>
        </r>
      </text>
    </comment>
    <comment ref="A106" authorId="0" shapeId="0" xr:uid="{5011A555-6F98-4EF4-8B6B-130C4A31F2EE}">
      <text>
        <r>
          <rPr>
            <sz val="9"/>
            <color indexed="81"/>
            <rFont val="Tahoma"/>
            <family val="2"/>
          </rPr>
          <t>MANUELVAL:SOLO AQUELLOS QUE EFECTIVAMENTE SE REALIZARON YA QUE AL ACUDIR AL CORTE EL USUARIO EN ALGUNOS CASOS REALIZA EL PAGO INMEDIATO.</t>
        </r>
      </text>
    </comment>
    <comment ref="A107" authorId="0" shapeId="0" xr:uid="{B8443569-D7A4-4320-95BA-87E5ABE1738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TAMBIEN LAS EFECTIVAMENTE RERALIZADAS EN LAS BITACORAS O CONTROLES.</t>
        </r>
      </text>
    </comment>
    <comment ref="A108" authorId="0" shapeId="0" xr:uid="{3CD1F5F2-FD31-405F-9913-0D327CE17F92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CONTABILIZADO POR ESTE CONCEPTO
</t>
        </r>
      </text>
    </comment>
    <comment ref="A110" authorId="0" shapeId="0" xr:uid="{A9B24BF2-93DE-467F-B39F-9114372D140D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SISTEMA LECTURA CEL O COMERCIAL, SEPARAR TOMAS ACTIVAS DE LAS NO ACTIVAS O CONGELADAS COMO LO MUESTRA EL CUADRO</t>
        </r>
      </text>
    </comment>
    <comment ref="A130" authorId="0" shapeId="0" xr:uid="{6693D0D6-48FE-4F51-BE9E-87556E97933C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del resumen operativo del sistema lectura cel o comercial. </t>
        </r>
        <r>
          <rPr>
            <b/>
            <sz val="9"/>
            <color indexed="81"/>
            <rFont val="Tahoma"/>
            <family val="2"/>
          </rPr>
          <t>SE TOMA EL REZAGO SIN RECARGOS</t>
        </r>
      </text>
    </comment>
    <comment ref="A138" authorId="0" shapeId="0" xr:uid="{BAECFF50-E05E-4511-A0C3-999C5AD210E6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del resumen operativo del sistema lectura cel o comercial</t>
        </r>
      </text>
    </comment>
    <comment ref="A144" authorId="0" shapeId="0" xr:uid="{0FF23C8A-399C-4FDC-99C1-FAC5ACB9230C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TOMAR DEL PADRON POR RANGOS DE CONSUMO LA TARIFA EN LA QUE HUBO MAS USUARIOS EN EL MES</t>
        </r>
      </text>
    </comment>
    <comment ref="A153" authorId="0" shapeId="0" xr:uid="{CD9FB95A-65EF-48B0-970C-6A2A078F1B07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EN CASO DE TENER EL DATO DE </t>
        </r>
        <r>
          <rPr>
            <b/>
            <sz val="9"/>
            <color indexed="81"/>
            <rFont val="Tahoma"/>
            <family val="2"/>
          </rPr>
          <t>CONAPO</t>
        </r>
        <r>
          <rPr>
            <sz val="9"/>
            <color indexed="81"/>
            <rFont val="Tahoma"/>
            <family val="2"/>
          </rPr>
          <t xml:space="preserve"> SE INCLUYE.</t>
        </r>
      </text>
    </comment>
    <comment ref="A154" authorId="0" shapeId="0" xr:uid="{FC8E19C8-2E0D-4052-BD8A-E45D0F42D7F1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ESTIMADO CON BASE A INFORMACIÓN QUE SE POSEA EN EL ORGANISMO.</t>
        </r>
      </text>
    </comment>
    <comment ref="A155" authorId="0" shapeId="0" xr:uid="{A2F61999-9889-4C61-9434-7B9A94DA5A52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ESTIMADO CON BASE A INFORMACIÓN QUE SE POSEA EN EL ORGANISMO.</t>
        </r>
      </text>
    </comment>
    <comment ref="A156" authorId="0" shapeId="0" xr:uid="{A63028B7-C8DA-45E6-B586-8A2D3E0E6362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COMUNIDADES, COMITES QUE EL ORGANISMO ATIENDE ADEMAS DE LO CORRESPONDIENTE A SUS CINCURSCRIPCIÓN</t>
        </r>
      </text>
    </comment>
    <comment ref="A157" authorId="0" shapeId="0" xr:uid="{C288F181-B4EE-4D72-869D-6BFFAEBF577D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DATO DE COUNIDADES ATENDIDAS ESTIMAR EL NUMERO DE USUARIOS SEGÚN EL PADRON DE CADA UNA</t>
        </r>
      </text>
    </comment>
    <comment ref="A158" authorId="0" shapeId="0" xr:uid="{BD43194E-6456-4DBD-BB8A-88B3C7DBB42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</t>
        </r>
      </text>
    </comment>
    <comment ref="A159" authorId="0" shapeId="0" xr:uid="{83D45602-CED9-46B7-9706-5AD2DDB63FAB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</t>
        </r>
      </text>
    </comment>
    <comment ref="A160" authorId="0" shapeId="0" xr:uid="{086327E1-51D6-45E1-835A-0CA8DAF9CAC7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1" authorId="0" shapeId="0" xr:uid="{8C3FEAC4-EFB0-4C7F-A989-B59A80292948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2" authorId="0" shapeId="0" xr:uid="{67EFF10D-5E0A-48C5-93EF-6BBAC9DD0BAB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3" authorId="0" shapeId="0" xr:uid="{2987CCC6-A27F-4FCB-A62D-EF92790AEF59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EL REGISTRO QUE SE TENGA DE LA RED DE DISTRIBUCIÓN DE AGUA MAS ACTUAL.</t>
        </r>
      </text>
    </comment>
    <comment ref="A164" authorId="0" shapeId="0" xr:uid="{AA84A5C6-0BF4-4946-934F-33CEB06A6C51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EL REGISTRO QUE SE TENGA DE LA RED DE DISTRIBUCIÓN DE AGUA MAS ACTUAL.</t>
        </r>
      </text>
    </comment>
    <comment ref="A165" authorId="0" shapeId="0" xr:uid="{C72D703B-9480-4C9F-A6BE-6ED097593F43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 REFIERE A LA LONGITUD REHABILITADA EN EL MES EN KM</t>
        </r>
      </text>
    </comment>
    <comment ref="A166" authorId="0" shapeId="0" xr:uid="{F2803744-0940-40B2-8678-191E8893A753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EN CASO DE REHABILITAR O REPARAR MICROMEDIDORES</t>
        </r>
      </text>
    </comment>
    <comment ref="A167" authorId="0" shapeId="0" xr:uid="{F11CB0FB-8BE4-4F76-BCC6-9FD9237FF0DB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LOS MICROMEDIDORES NUEVOS INSTALADOS POR SUSTITUCIÓN, A SOLICITUD DEL USUARIO , NUEVOS CONTRATOS, ETC.</t>
        </r>
      </text>
    </comment>
    <comment ref="A168" authorId="0" shapeId="0" xr:uid="{47CF82E4-E516-4E83-A946-7D0424D3C5A3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A LOS QUE EFECTIVAMENTE SE LES TOMA LECTURA, NO INCLUYE LOS ESTIMADOS, PROMEDIADOS, DESTRUIDOS, SIN FUNCIONAR, ETC.  </t>
        </r>
        <r>
          <rPr>
            <b/>
            <sz val="9"/>
            <color indexed="81"/>
            <rFont val="Tahoma"/>
            <family val="2"/>
          </rPr>
          <t>SOLO FUNCIONANDO</t>
        </r>
      </text>
    </comment>
    <comment ref="A170" authorId="0" shapeId="0" xr:uid="{0672E894-2B03-4E06-AA66-C113DC8338B6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MACROMEDIDORES INSTALADOS EN EL MES</t>
        </r>
      </text>
    </comment>
    <comment ref="A171" authorId="0" shapeId="0" xr:uid="{397D0500-07C7-4A86-9E43-6190CE52048A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QUE SI FUNCIONEN Y ARROJEN LECTURAS CORRECTAMENTE. SEGÚN BITACORAS</t>
        </r>
      </text>
    </comment>
    <comment ref="A173" authorId="0" shapeId="0" xr:uid="{4F5A057E-9497-4D87-A09F-6A7AF39FF441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INVENTARIO DE FUENTES ACTIVAS Y EN DESUSO, TANQUES DE ALMACENAMIENTO O PILAS Y CAPACIDAD DE ALMACENAMIENTO. </t>
        </r>
      </text>
    </comment>
    <comment ref="A186" authorId="0" shapeId="0" xr:uid="{2566DF81-A36B-4491-817B-DD3F167FD408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TODO EL PERSONAL SEA POR SUELDOS Y SALARIOS, HONORARIOS O ASIMILADOS. SEPARAR DE ACUERDO AL CUADRO</t>
        </r>
      </text>
    </comment>
    <comment ref="A197" authorId="0" shapeId="0" xr:uid="{F90F4D87-B59D-4FDB-89AC-45E71A2B7FAC}">
      <text>
        <r>
          <rPr>
            <b/>
            <sz val="9"/>
            <color indexed="81"/>
            <rFont val="Tahoma"/>
            <family val="2"/>
          </rPr>
          <t xml:space="preserve">MANUELVAL:
</t>
        </r>
        <r>
          <rPr>
            <sz val="9"/>
            <color indexed="81"/>
            <rFont val="Tahoma"/>
            <family val="2"/>
          </rPr>
          <t>QUE SE INVOLUCREN EN EL TEMA</t>
        </r>
      </text>
    </comment>
    <comment ref="A198" authorId="0" shapeId="0" xr:uid="{6D3FCF69-EEAA-4D95-8B76-2C4A79875063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199" authorId="0" shapeId="0" xr:uid="{4E4738CB-8F04-4D0F-9EF8-40D52221585A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0" authorId="0" shapeId="0" xr:uid="{44496AC5-A04B-44A3-A9FA-840949EC7615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1" authorId="0" shapeId="0" xr:uid="{5B574554-6D6F-494B-99B2-CC5CA9892A35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2" authorId="0" shapeId="0" xr:uid="{18194475-E725-41D0-8A19-C705C24A478E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3" authorId="0" shapeId="0" xr:uid="{A549C366-9B22-4B57-AA72-4C1F87E4353D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 REFIERE A AQUELLOS USUARIOS QUE RECIBEN AGUA LAS 24 HRS LOS 7 DIAS</t>
        </r>
      </text>
    </comment>
    <comment ref="L203" authorId="3" shapeId="0" xr:uid="{FA580956-0C30-4B95-ADEB-55111F2278DA}">
      <text>
        <r>
          <rPr>
            <b/>
            <sz val="9"/>
            <color indexed="81"/>
            <rFont val="Tahoma"/>
            <family val="2"/>
          </rPr>
          <t>ESTE DATO SE OBTUVO POR NELLY / YA QUE DANY ESTABA DE VACACIONES ESTE ES APROX</t>
        </r>
      </text>
    </comment>
    <comment ref="A204" authorId="0" shapeId="0" xr:uid="{65F385DF-1DFA-4466-BE55-A33C0AC2F69B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TOMAS CON SERVICIO DE TANDEO.</t>
        </r>
      </text>
    </comment>
  </commentList>
</comments>
</file>

<file path=xl/sharedStrings.xml><?xml version="1.0" encoding="utf-8"?>
<sst xmlns="http://schemas.openxmlformats.org/spreadsheetml/2006/main" count="203" uniqueCount="178">
  <si>
    <t>Comercial</t>
  </si>
  <si>
    <t>PROGRAMA DE INDICADORES DE GESTION DE ORGANISMOS OPERADORES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</si>
  <si>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</si>
  <si>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</si>
  <si>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</si>
  <si>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</si>
  <si>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</si>
  <si>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</si>
  <si>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</si>
  <si>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</si>
  <si>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</si>
  <si>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</si>
  <si>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</si>
  <si>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</si>
  <si>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</si>
  <si>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</si>
  <si>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Presupuesto Anual</t>
  </si>
  <si>
    <t>Presupuesto Acumulado del Periodo</t>
  </si>
  <si>
    <t>Diferencia</t>
  </si>
  <si>
    <t>Ejer &amp; Ppto</t>
  </si>
  <si>
    <t>Resultados de Gestion</t>
  </si>
  <si>
    <t>1. Ingresos  (A+B)</t>
  </si>
  <si>
    <t>A) Ingresos propios netos (a+b+c)</t>
  </si>
  <si>
    <t>a) Ingresos propios (i+ii)</t>
  </si>
  <si>
    <t>i) ingresos por agua, alcantarillado y saneamiento</t>
  </si>
  <si>
    <t>ii) resto de los ingresos propios</t>
  </si>
  <si>
    <t>b) Descuento social</t>
  </si>
  <si>
    <t>c) Bonificaciones</t>
  </si>
  <si>
    <t>B) Ingresos indirectos</t>
  </si>
  <si>
    <t>2. Egresos (A+B+C)</t>
  </si>
  <si>
    <t>A) Costos y gastos de Operación (a+b+c+d)</t>
  </si>
  <si>
    <t>a) Servicios personales</t>
  </si>
  <si>
    <t>b) Materiales y suministros</t>
  </si>
  <si>
    <t>c) Servicios Generales (i+ii+iii)</t>
  </si>
  <si>
    <t>i) Energía eléctrica (operación)</t>
  </si>
  <si>
    <t>ii) Aportaciones y Derechos (5% JCAS)</t>
  </si>
  <si>
    <t>iv) Resto de los Servicios</t>
  </si>
  <si>
    <t>Resultado del Ejercicio</t>
  </si>
  <si>
    <t>B) Creditos</t>
  </si>
  <si>
    <t>C) Inversiones propias</t>
  </si>
  <si>
    <t>Ampliación</t>
  </si>
  <si>
    <t>Rehabilitación</t>
  </si>
  <si>
    <t>Activo Fijo</t>
  </si>
  <si>
    <t>D) Inversiones de Gobierno</t>
  </si>
  <si>
    <t>Cuentas de Balance</t>
  </si>
  <si>
    <t>Saldo En Bancos</t>
  </si>
  <si>
    <t>Cuenta Corriente</t>
  </si>
  <si>
    <t>Provisiones</t>
  </si>
  <si>
    <t>Inversiones</t>
  </si>
  <si>
    <t>Activo Circulante</t>
  </si>
  <si>
    <t xml:space="preserve">       Activo Total</t>
  </si>
  <si>
    <t>Pasivo Circulante</t>
  </si>
  <si>
    <t xml:space="preserve">       Pasivo Total</t>
  </si>
  <si>
    <t>Energía Eléctrica de Operación en KW (A+B+C)</t>
  </si>
  <si>
    <t>A) Agua potable</t>
  </si>
  <si>
    <t>B) Alcantarillado</t>
  </si>
  <si>
    <t>C) Saneamiento</t>
  </si>
  <si>
    <t>Desglose Consumo Eléctrico $ (Pesos)</t>
  </si>
  <si>
    <t>Avance de Estudio de Eficiencia Electromecanica (% avance)</t>
  </si>
  <si>
    <t>Avance de Diagnostico de Medición de Presiones y Recuperción de caudales (% avance)</t>
  </si>
  <si>
    <t>Agua Potable</t>
  </si>
  <si>
    <r>
      <t>Volumen de agua producida en m</t>
    </r>
    <r>
      <rPr>
        <b/>
        <vertAlign val="superscript"/>
        <sz val="11"/>
        <color indexed="8"/>
        <rFont val="Arial"/>
        <family val="2"/>
      </rPr>
      <t>3</t>
    </r>
  </si>
  <si>
    <t>Pozo Profundo</t>
  </si>
  <si>
    <t>Galerias Filtrantes</t>
  </si>
  <si>
    <t>Manantial</t>
  </si>
  <si>
    <t>Presas</t>
  </si>
  <si>
    <t>Volumen de agua facturada en m3 (A+B+C+D+E)</t>
  </si>
  <si>
    <t>A) Doméstico</t>
  </si>
  <si>
    <t>B) Comercial</t>
  </si>
  <si>
    <t>C) Industrial</t>
  </si>
  <si>
    <t>D) Escolar</t>
  </si>
  <si>
    <t>E) Público</t>
  </si>
  <si>
    <t>Volumen de agua cobrado en m3 (A+B)</t>
  </si>
  <si>
    <t>A) A Tiempo</t>
  </si>
  <si>
    <t>B) Con Rezago</t>
  </si>
  <si>
    <t>Saneamiento</t>
  </si>
  <si>
    <t>Agua Tratada (lagunas de oxidación, PTAR, etc)</t>
  </si>
  <si>
    <t>Volumen de agua tratado en m3 (entra a planta)</t>
  </si>
  <si>
    <t>Volumen de agua producido en m3 (sale de planta)</t>
  </si>
  <si>
    <t xml:space="preserve">     A) Vendida</t>
  </si>
  <si>
    <t xml:space="preserve">     B) Comprometida</t>
  </si>
  <si>
    <t xml:space="preserve">     C) Descargada</t>
  </si>
  <si>
    <t>Facturación de Agua, Alcant. y Saneamiento en $ (A+B+C+D+E)</t>
  </si>
  <si>
    <t>Cobrado de Agua, Alcant. y Saneamiento en $ (A+B+C+D+E)</t>
  </si>
  <si>
    <t>No. De Reconexiones del Mes</t>
  </si>
  <si>
    <t>Importe de Multas Cobradas</t>
  </si>
  <si>
    <t/>
  </si>
  <si>
    <t>Padrón de usuarios</t>
  </si>
  <si>
    <t>Total de conexiones de agua Activas (A+B)</t>
  </si>
  <si>
    <t>A) Conexiones de servicio medido  (a+b+c+d+e)</t>
  </si>
  <si>
    <t>a) Doméstico</t>
  </si>
  <si>
    <t>b) Comercial</t>
  </si>
  <si>
    <t>c) Industrial</t>
  </si>
  <si>
    <t>d) Escolar</t>
  </si>
  <si>
    <t>e) Público</t>
  </si>
  <si>
    <t>B) Conexiones de cuota fija (a+b+c+d+e)</t>
  </si>
  <si>
    <t>C) Conexiones No Activas o Congeladas</t>
  </si>
  <si>
    <t>Total de descargas de alcantarillado</t>
  </si>
  <si>
    <t xml:space="preserve">Analítico del Rezago </t>
  </si>
  <si>
    <t>Monto del Rezago (A+B+C)</t>
  </si>
  <si>
    <t>A) Rezago cobrable (a+b+c)</t>
  </si>
  <si>
    <t>B) Escolar</t>
  </si>
  <si>
    <t>C) Público</t>
  </si>
  <si>
    <t>No. De tomas con rezago:</t>
  </si>
  <si>
    <t xml:space="preserve">              2 meses</t>
  </si>
  <si>
    <t xml:space="preserve">              4 meses</t>
  </si>
  <si>
    <t xml:space="preserve">              8 meses</t>
  </si>
  <si>
    <t xml:space="preserve">              1 año</t>
  </si>
  <si>
    <t>Tarifa mas Popular $</t>
  </si>
  <si>
    <t xml:space="preserve">               Comercial $  _____m3</t>
  </si>
  <si>
    <t xml:space="preserve">               Industrial $   _____m3</t>
  </si>
  <si>
    <t>A los usuarios de cuota fija se asigna volumen estimado m3/mes</t>
  </si>
  <si>
    <t xml:space="preserve">Coberturas de servicios </t>
  </si>
  <si>
    <t>No. habitantes según censo de INEGI</t>
  </si>
  <si>
    <t>No. de habitantes con servicio de agua potable</t>
  </si>
  <si>
    <t>No. de habitantes con servicio de alcantarillado</t>
  </si>
  <si>
    <t>No. de Localidades Atendidas (comunidades o comites de agua)</t>
  </si>
  <si>
    <t>No. de usuarios  en las Localidades Atendidas</t>
  </si>
  <si>
    <t xml:space="preserve">No. de usuarios con pagos a tiempo </t>
  </si>
  <si>
    <t>No. de usuarios con descuento social</t>
  </si>
  <si>
    <t>Presion minima de suministro en la red (mca)</t>
  </si>
  <si>
    <t>Presión media de suministro en la red (mca)</t>
  </si>
  <si>
    <t>Presion maxima de suministro en la red (mca)</t>
  </si>
  <si>
    <t>Longitud total de tubería de distribución (km)</t>
  </si>
  <si>
    <t>Longitud total de Alcantarillado (km)</t>
  </si>
  <si>
    <t>Longitud de tubería de distribución  rehabilitada (Km)</t>
  </si>
  <si>
    <t>No. de micromedidores rehabilitados</t>
  </si>
  <si>
    <t>No. de micromedidores Instalados Nuevos</t>
  </si>
  <si>
    <t>No. de micromedidores funcionando</t>
  </si>
  <si>
    <t>No. de micromedidores calibrados</t>
  </si>
  <si>
    <t>No. de macromedidores instalados en captaciones</t>
  </si>
  <si>
    <t>No. de macromedidores funcionando</t>
  </si>
  <si>
    <t>No. de macromedidores calibrados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</si>
  <si>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</si>
  <si>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</si>
  <si>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</si>
  <si>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</si>
  <si>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</si>
  <si>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</si>
  <si>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No. Fuentes de abastecimiento Activas</t>
  </si>
  <si>
    <t>No. De Tanques de Almacenamiento</t>
  </si>
  <si>
    <t>Recursos humanos</t>
  </si>
  <si>
    <t>A) Empleados Activos (a+b+c)</t>
  </si>
  <si>
    <t>a) Administración          Confianza</t>
  </si>
  <si>
    <t xml:space="preserve">                                   Sindicalizados</t>
  </si>
  <si>
    <t>b) Comercialización       Confianza</t>
  </si>
  <si>
    <t>c) Operación                 Confianza</t>
  </si>
  <si>
    <t xml:space="preserve">                                          Sindicalizados</t>
  </si>
  <si>
    <t>Sistemas de Información de Usuarios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</si>
  <si>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</si>
  <si>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</si>
  <si>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</si>
  <si>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</si>
  <si>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</si>
  <si>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</si>
  <si>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</si>
  <si>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</si>
  <si>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 xml:space="preserve">iii) DFEA Pagados </t>
  </si>
  <si>
    <t>d) Apoyos y transferencias y Otros</t>
  </si>
  <si>
    <r>
      <t>Volumen de Almacenamiento de los Tanques m</t>
    </r>
    <r>
      <rPr>
        <vertAlign val="superscript"/>
        <sz val="11"/>
        <color rgb="FFFF0000"/>
        <rFont val="Arial"/>
        <family val="2"/>
      </rPr>
      <t>3</t>
    </r>
  </si>
  <si>
    <r>
      <t xml:space="preserve">B) Pensionados y jubilados </t>
    </r>
    <r>
      <rPr>
        <sz val="12"/>
        <color rgb="FFFF0000"/>
        <rFont val="Arial"/>
        <family val="2"/>
      </rPr>
      <t xml:space="preserve">  Confianza</t>
    </r>
  </si>
  <si>
    <t>No. De Cortes Efectivos del Mes</t>
  </si>
  <si>
    <t>* NO REPETIR LAS BONIFICACIONES, DESCUENTOS Y AJUSTES EN LOS GASTOS OPERATIVOS.</t>
  </si>
  <si>
    <t>Cobertura de Alcantarillado</t>
  </si>
  <si>
    <r>
      <t xml:space="preserve">JUNTA MUNICIPAL DE AGUA Y SANEAMIENTO DE </t>
    </r>
    <r>
      <rPr>
        <b/>
        <sz val="16"/>
        <color rgb="FFFF0000"/>
        <rFont val="Arial"/>
        <family val="2"/>
      </rPr>
      <t>JMAS CASAS GRANDES</t>
    </r>
  </si>
  <si>
    <t xml:space="preserve">c) Ajustes </t>
  </si>
  <si>
    <t>Ahorro/ Desahorro Neto del Ejercicio</t>
  </si>
  <si>
    <t>Ejercicio Fiscal 2022</t>
  </si>
  <si>
    <t xml:space="preserve">              Domiciliaria $   0 m3</t>
  </si>
  <si>
    <t xml:space="preserve">      Saldo DFEA pendiente de pago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</si>
  <si>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</si>
  <si>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</si>
  <si>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</si>
  <si>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>____________________________</t>
  </si>
  <si>
    <t xml:space="preserve">                         C. JUAN RAFAEL OCHOA CASTILLO</t>
  </si>
  <si>
    <t>ING. DANIEL TIRADO CARDENAS</t>
  </si>
  <si>
    <t xml:space="preserve">                       DIRECTOR EJECUTIVO</t>
  </si>
  <si>
    <t xml:space="preserve">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</si>
</sst>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#,##0.00_ ;[Red]\-#,##0.00\ "/>
    <numFmt numFmtId="168" formatCode="#,##0_ ;[Red]\-#,##0\ "/>
    <numFmt numFmtId="169" formatCode="#,##0.00;[Red]#,##0.00"/>
    <numFmt numFmtId="170" formatCode="_-* #,##0.000_-;\-* #,##0.00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color theme="0"/>
      <name val="Arial"/>
      <family val="2"/>
    </font>
    <font>
      <b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i/>
      <sz val="11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vertAlign val="superscript"/>
      <sz val="11"/>
      <color rgb="FFFF0000"/>
      <name val="Arial"/>
      <family val="2"/>
    </font>
    <font>
      <b/>
      <sz val="10"/>
      <name val="Arial"/>
      <family val="2"/>
    </font>
    <font>
      <b/>
      <sz val="8"/>
      <color rgb="FF002060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7" fillId="2" borderId="0" xfId="3" applyFont="1" applyFill="1"/>
    <xf numFmtId="0" fontId="2" fillId="0" borderId="0" xfId="0" applyFont="1"/>
    <xf numFmtId="1" fontId="11" fillId="0" borderId="0" xfId="3" applyNumberFormat="1" applyFont="1" applyAlignment="1">
      <alignment horizontal="center"/>
    </xf>
    <xf numFmtId="1" fontId="12" fillId="0" borderId="0" xfId="3" applyNumberFormat="1" applyFont="1" applyAlignment="1">
      <alignment horizontal="center"/>
    </xf>
    <xf numFmtId="0" fontId="7" fillId="0" borderId="0" xfId="3" applyFont="1"/>
    <xf numFmtId="0" fontId="13" fillId="6" borderId="1" xfId="3" applyFont="1" applyFill="1" applyBorder="1" applyAlignment="1">
      <alignment horizontal="center" vertical="center"/>
    </xf>
    <xf numFmtId="1" fontId="13" fillId="6" borderId="1" xfId="3" applyNumberFormat="1" applyFont="1" applyFill="1" applyBorder="1" applyAlignment="1">
      <alignment horizontal="center" vertical="center" wrapText="1"/>
    </xf>
    <xf numFmtId="1" fontId="14" fillId="6" borderId="1" xfId="3" applyNumberFormat="1" applyFont="1" applyFill="1" applyBorder="1" applyAlignment="1">
      <alignment horizontal="center" vertical="center" wrapText="1"/>
    </xf>
    <xf numFmtId="0" fontId="9" fillId="4" borderId="0" xfId="3" applyFont="1" applyFill="1" applyAlignment="1">
      <alignment horizontal="center" vertical="center"/>
    </xf>
    <xf numFmtId="1" fontId="13" fillId="0" borderId="0" xfId="3" applyNumberFormat="1" applyFont="1" applyAlignment="1">
      <alignment horizontal="center" vertical="center" wrapText="1"/>
    </xf>
    <xf numFmtId="1" fontId="14" fillId="0" borderId="0" xfId="3" applyNumberFormat="1" applyFont="1" applyAlignment="1">
      <alignment horizontal="center" vertical="center" wrapText="1"/>
    </xf>
    <xf numFmtId="0" fontId="9" fillId="7" borderId="2" xfId="0" applyFont="1" applyFill="1" applyBorder="1" applyAlignment="1">
      <alignment horizontal="left" vertical="center"/>
    </xf>
    <xf numFmtId="43" fontId="15" fillId="7" borderId="3" xfId="4" applyFont="1" applyFill="1" applyBorder="1" applyAlignment="1" applyProtection="1">
      <alignment horizontal="right" vertical="center"/>
    </xf>
    <xf numFmtId="9" fontId="15" fillId="7" borderId="4" xfId="2" applyFont="1" applyFill="1" applyBorder="1" applyAlignment="1" applyProtection="1">
      <alignment horizontal="right" vertical="center"/>
    </xf>
    <xf numFmtId="0" fontId="16" fillId="8" borderId="5" xfId="0" applyFont="1" applyFill="1" applyBorder="1" applyAlignment="1">
      <alignment horizontal="left" vertical="center" indent="2"/>
    </xf>
    <xf numFmtId="43" fontId="17" fillId="8" borderId="6" xfId="4" applyFont="1" applyFill="1" applyBorder="1" applyAlignment="1" applyProtection="1">
      <alignment horizontal="right" vertical="center"/>
    </xf>
    <xf numFmtId="9" fontId="17" fillId="8" borderId="7" xfId="2" applyFont="1" applyFill="1" applyBorder="1" applyAlignment="1" applyProtection="1">
      <alignment horizontal="right" vertical="center"/>
    </xf>
    <xf numFmtId="0" fontId="16" fillId="8" borderId="5" xfId="0" applyFont="1" applyFill="1" applyBorder="1" applyAlignment="1">
      <alignment horizontal="left" vertical="center" indent="4"/>
    </xf>
    <xf numFmtId="43" fontId="17" fillId="0" borderId="6" xfId="4" applyFont="1" applyFill="1" applyBorder="1" applyAlignment="1" applyProtection="1">
      <alignment horizontal="right" vertical="center"/>
    </xf>
    <xf numFmtId="43" fontId="17" fillId="3" borderId="6" xfId="4" applyFont="1" applyFill="1" applyBorder="1" applyAlignment="1" applyProtection="1">
      <alignment horizontal="right" vertical="center"/>
    </xf>
    <xf numFmtId="9" fontId="17" fillId="0" borderId="7" xfId="2" applyFont="1" applyFill="1" applyBorder="1" applyAlignment="1" applyProtection="1">
      <alignment horizontal="right" vertical="center"/>
    </xf>
    <xf numFmtId="167" fontId="17" fillId="0" borderId="6" xfId="4" applyNumberFormat="1" applyFont="1" applyFill="1" applyBorder="1" applyAlignment="1" applyProtection="1">
      <alignment horizontal="right" vertical="center"/>
    </xf>
    <xf numFmtId="167" fontId="17" fillId="3" borderId="6" xfId="4" applyNumberFormat="1" applyFont="1" applyFill="1" applyBorder="1" applyAlignment="1" applyProtection="1">
      <alignment horizontal="right" vertical="center"/>
    </xf>
    <xf numFmtId="0" fontId="17" fillId="0" borderId="5" xfId="0" applyFont="1" applyBorder="1" applyAlignment="1">
      <alignment horizontal="left" vertical="center" indent="2"/>
    </xf>
    <xf numFmtId="9" fontId="15" fillId="0" borderId="8" xfId="2" applyFont="1" applyFill="1" applyBorder="1" applyAlignment="1" applyProtection="1">
      <alignment horizontal="right" vertical="center"/>
    </xf>
    <xf numFmtId="165" fontId="18" fillId="0" borderId="7" xfId="4" applyNumberFormat="1" applyFont="1" applyFill="1" applyBorder="1" applyAlignment="1" applyProtection="1">
      <alignment horizontal="right" vertical="center"/>
    </xf>
    <xf numFmtId="0" fontId="9" fillId="7" borderId="5" xfId="0" applyFont="1" applyFill="1" applyBorder="1" applyAlignment="1">
      <alignment horizontal="left" vertical="center"/>
    </xf>
    <xf numFmtId="43" fontId="15" fillId="7" borderId="6" xfId="4" applyFont="1" applyFill="1" applyBorder="1" applyAlignment="1" applyProtection="1">
      <alignment horizontal="right" vertical="center"/>
    </xf>
    <xf numFmtId="9" fontId="17" fillId="7" borderId="7" xfId="2" applyFont="1" applyFill="1" applyBorder="1" applyAlignment="1" applyProtection="1">
      <alignment horizontal="right" vertical="center"/>
    </xf>
    <xf numFmtId="43" fontId="15" fillId="8" borderId="6" xfId="4" applyFont="1" applyFill="1" applyBorder="1" applyAlignment="1" applyProtection="1">
      <alignment horizontal="right" vertical="center"/>
    </xf>
    <xf numFmtId="0" fontId="17" fillId="8" borderId="5" xfId="0" applyFont="1" applyFill="1" applyBorder="1" applyAlignment="1">
      <alignment horizontal="left" vertical="center" indent="4"/>
    </xf>
    <xf numFmtId="9" fontId="15" fillId="0" borderId="7" xfId="2" applyFont="1" applyFill="1" applyBorder="1" applyAlignment="1" applyProtection="1">
      <alignment horizontal="right" vertical="center"/>
    </xf>
    <xf numFmtId="0" fontId="19" fillId="8" borderId="5" xfId="0" applyFont="1" applyFill="1" applyBorder="1" applyAlignment="1">
      <alignment horizontal="right" vertical="center"/>
    </xf>
    <xf numFmtId="0" fontId="17" fillId="8" borderId="5" xfId="0" applyFont="1" applyFill="1" applyBorder="1" applyAlignment="1">
      <alignment horizontal="left" vertical="center" indent="2"/>
    </xf>
    <xf numFmtId="0" fontId="19" fillId="0" borderId="5" xfId="0" applyFont="1" applyBorder="1" applyAlignment="1">
      <alignment horizontal="right" vertical="center"/>
    </xf>
    <xf numFmtId="43" fontId="15" fillId="0" borderId="6" xfId="4" applyFont="1" applyFill="1" applyBorder="1" applyAlignment="1" applyProtection="1">
      <alignment horizontal="right" vertical="center"/>
    </xf>
    <xf numFmtId="0" fontId="15" fillId="4" borderId="5" xfId="0" applyFont="1" applyFill="1" applyBorder="1" applyAlignment="1">
      <alignment horizontal="center" vertical="center"/>
    </xf>
    <xf numFmtId="0" fontId="7" fillId="0" borderId="9" xfId="3" applyFont="1" applyBorder="1"/>
    <xf numFmtId="43" fontId="17" fillId="0" borderId="10" xfId="4" applyFont="1" applyFill="1" applyBorder="1" applyAlignment="1" applyProtection="1">
      <alignment horizontal="right" vertical="center"/>
    </xf>
    <xf numFmtId="0" fontId="9" fillId="4" borderId="2" xfId="0" applyFont="1" applyFill="1" applyBorder="1" applyAlignment="1">
      <alignment horizontal="left" vertical="center"/>
    </xf>
    <xf numFmtId="43" fontId="15" fillId="9" borderId="3" xfId="4" applyFont="1" applyFill="1" applyBorder="1" applyAlignment="1" applyProtection="1">
      <alignment horizontal="right" vertical="center"/>
    </xf>
    <xf numFmtId="43" fontId="17" fillId="0" borderId="6" xfId="4" applyFont="1" applyFill="1" applyBorder="1" applyAlignment="1" applyProtection="1">
      <alignment horizontal="right" vertical="center"/>
      <protection locked="0"/>
    </xf>
    <xf numFmtId="43" fontId="17" fillId="3" borderId="6" xfId="4" applyFont="1" applyFill="1" applyBorder="1" applyAlignment="1" applyProtection="1">
      <alignment horizontal="right" vertical="center"/>
      <protection locked="0"/>
    </xf>
    <xf numFmtId="0" fontId="9" fillId="9" borderId="2" xfId="0" applyFont="1" applyFill="1" applyBorder="1" applyAlignment="1">
      <alignment horizontal="left" vertical="center"/>
    </xf>
    <xf numFmtId="0" fontId="17" fillId="3" borderId="9" xfId="0" applyFont="1" applyFill="1" applyBorder="1" applyAlignment="1">
      <alignment horizontal="left" vertical="center" indent="2"/>
    </xf>
    <xf numFmtId="0" fontId="17" fillId="0" borderId="5" xfId="0" applyFont="1" applyBorder="1" applyAlignment="1">
      <alignment horizontal="left" vertical="center"/>
    </xf>
    <xf numFmtId="9" fontId="17" fillId="0" borderId="6" xfId="2" applyFont="1" applyFill="1" applyBorder="1" applyAlignment="1" applyProtection="1">
      <alignment horizontal="right" vertical="center"/>
      <protection locked="0"/>
    </xf>
    <xf numFmtId="9" fontId="17" fillId="0" borderId="6" xfId="4" applyNumberFormat="1" applyFont="1" applyFill="1" applyBorder="1" applyAlignment="1" applyProtection="1">
      <alignment horizontal="right" vertical="center"/>
    </xf>
    <xf numFmtId="165" fontId="15" fillId="9" borderId="3" xfId="4" applyNumberFormat="1" applyFont="1" applyFill="1" applyBorder="1" applyAlignment="1" applyProtection="1">
      <alignment horizontal="right" vertical="center"/>
    </xf>
    <xf numFmtId="165" fontId="17" fillId="0" borderId="6" xfId="4" applyNumberFormat="1" applyFont="1" applyFill="1" applyBorder="1" applyAlignment="1" applyProtection="1">
      <alignment horizontal="right" vertical="center"/>
      <protection locked="0"/>
    </xf>
    <xf numFmtId="165" fontId="17" fillId="0" borderId="6" xfId="4" applyNumberFormat="1" applyFont="1" applyFill="1" applyBorder="1" applyAlignment="1" applyProtection="1">
      <alignment horizontal="right" vertical="center"/>
    </xf>
    <xf numFmtId="0" fontId="22" fillId="0" borderId="5" xfId="5" applyFont="1" applyBorder="1"/>
    <xf numFmtId="3" fontId="22" fillId="0" borderId="0" xfId="5" applyNumberFormat="1" applyFont="1"/>
    <xf numFmtId="0" fontId="9" fillId="8" borderId="5" xfId="0" applyFont="1" applyFill="1" applyBorder="1" applyAlignment="1">
      <alignment horizontal="left" vertical="center"/>
    </xf>
    <xf numFmtId="43" fontId="17" fillId="0" borderId="6" xfId="4" applyFont="1" applyFill="1" applyBorder="1" applyAlignment="1" applyProtection="1">
      <alignment horizontal="left" vertical="center"/>
      <protection locked="0"/>
    </xf>
    <xf numFmtId="166" fontId="22" fillId="0" borderId="5" xfId="4" applyNumberFormat="1" applyFont="1" applyBorder="1" applyAlignment="1" applyProtection="1">
      <alignment horizontal="left" indent="1"/>
    </xf>
    <xf numFmtId="166" fontId="23" fillId="0" borderId="6" xfId="4" applyNumberFormat="1" applyFont="1" applyFill="1" applyBorder="1" applyProtection="1"/>
    <xf numFmtId="166" fontId="23" fillId="0" borderId="5" xfId="4" applyNumberFormat="1" applyFont="1" applyFill="1" applyBorder="1" applyAlignment="1" applyProtection="1">
      <alignment horizontal="left" indent="1"/>
    </xf>
    <xf numFmtId="166" fontId="23" fillId="0" borderId="6" xfId="4" applyNumberFormat="1" applyFont="1" applyFill="1" applyBorder="1" applyProtection="1">
      <protection locked="0"/>
    </xf>
    <xf numFmtId="0" fontId="9" fillId="4" borderId="5" xfId="0" applyFont="1" applyFill="1" applyBorder="1" applyAlignment="1">
      <alignment horizontal="left" vertical="center"/>
    </xf>
    <xf numFmtId="43" fontId="15" fillId="8" borderId="6" xfId="4" applyFont="1" applyFill="1" applyBorder="1" applyAlignment="1" applyProtection="1">
      <alignment horizontal="right" vertical="center"/>
      <protection locked="0"/>
    </xf>
    <xf numFmtId="0" fontId="16" fillId="0" borderId="5" xfId="0" applyFont="1" applyBorder="1" applyAlignment="1">
      <alignment horizontal="left" vertical="center" indent="3"/>
    </xf>
    <xf numFmtId="43" fontId="15" fillId="3" borderId="6" xfId="4" applyFont="1" applyFill="1" applyBorder="1" applyAlignment="1" applyProtection="1">
      <alignment horizontal="right" vertical="center"/>
      <protection locked="0"/>
    </xf>
    <xf numFmtId="166" fontId="23" fillId="0" borderId="5" xfId="4" applyNumberFormat="1" applyFont="1" applyBorder="1" applyAlignment="1" applyProtection="1">
      <alignment horizontal="left" indent="1"/>
    </xf>
    <xf numFmtId="168" fontId="23" fillId="0" borderId="6" xfId="6" applyNumberFormat="1" applyFont="1" applyFill="1" applyBorder="1" applyProtection="1"/>
    <xf numFmtId="0" fontId="17" fillId="3" borderId="5" xfId="0" applyFont="1" applyFill="1" applyBorder="1" applyAlignment="1">
      <alignment horizontal="left" vertical="center" indent="2"/>
    </xf>
    <xf numFmtId="166" fontId="23" fillId="0" borderId="5" xfId="4" quotePrefix="1" applyNumberFormat="1" applyFont="1" applyBorder="1" applyAlignment="1" applyProtection="1">
      <alignment horizontal="left" indent="3"/>
    </xf>
    <xf numFmtId="3" fontId="23" fillId="0" borderId="6" xfId="4" applyNumberFormat="1" applyFont="1" applyFill="1" applyBorder="1" applyProtection="1">
      <protection locked="0"/>
    </xf>
    <xf numFmtId="165" fontId="15" fillId="7" borderId="6" xfId="4" applyNumberFormat="1" applyFont="1" applyFill="1" applyBorder="1" applyAlignment="1" applyProtection="1">
      <alignment horizontal="right" vertical="center"/>
    </xf>
    <xf numFmtId="0" fontId="15" fillId="8" borderId="5" xfId="0" applyFont="1" applyFill="1" applyBorder="1" applyAlignment="1">
      <alignment horizontal="left" vertical="center" indent="2"/>
    </xf>
    <xf numFmtId="165" fontId="15" fillId="8" borderId="6" xfId="4" applyNumberFormat="1" applyFont="1" applyFill="1" applyBorder="1" applyAlignment="1" applyProtection="1">
      <alignment horizontal="right" vertical="center"/>
    </xf>
    <xf numFmtId="0" fontId="9" fillId="3" borderId="5" xfId="0" applyFont="1" applyFill="1" applyBorder="1" applyAlignment="1">
      <alignment horizontal="left" vertical="center"/>
    </xf>
    <xf numFmtId="165" fontId="17" fillId="3" borderId="6" xfId="4" applyNumberFormat="1" applyFont="1" applyFill="1" applyBorder="1" applyAlignment="1" applyProtection="1">
      <alignment horizontal="right" vertical="center"/>
      <protection locked="0"/>
    </xf>
    <xf numFmtId="165" fontId="15" fillId="8" borderId="6" xfId="4" applyNumberFormat="1" applyFont="1" applyFill="1" applyBorder="1" applyAlignment="1" applyProtection="1">
      <alignment horizontal="right" vertical="center"/>
      <protection locked="0"/>
    </xf>
    <xf numFmtId="0" fontId="9" fillId="0" borderId="5" xfId="0" applyFont="1" applyBorder="1" applyAlignment="1">
      <alignment horizontal="left" vertical="center"/>
    </xf>
    <xf numFmtId="165" fontId="15" fillId="0" borderId="6" xfId="4" applyNumberFormat="1" applyFont="1" applyFill="1" applyBorder="1" applyAlignment="1" applyProtection="1">
      <alignment horizontal="right" vertical="center"/>
      <protection locked="0"/>
    </xf>
    <xf numFmtId="49" fontId="17" fillId="0" borderId="6" xfId="4" applyNumberFormat="1" applyFont="1" applyFill="1" applyBorder="1" applyAlignment="1" applyProtection="1">
      <alignment horizontal="right" vertical="center"/>
      <protection locked="0"/>
    </xf>
    <xf numFmtId="169" fontId="23" fillId="0" borderId="6" xfId="4" applyNumberFormat="1" applyFont="1" applyFill="1" applyBorder="1" applyProtection="1">
      <protection locked="0"/>
    </xf>
    <xf numFmtId="166" fontId="22" fillId="0" borderId="11" xfId="4" quotePrefix="1" applyNumberFormat="1" applyFont="1" applyFill="1" applyBorder="1" applyAlignment="1" applyProtection="1">
      <alignment vertical="center" wrapText="1"/>
    </xf>
    <xf numFmtId="166" fontId="23" fillId="0" borderId="6" xfId="4" applyNumberFormat="1" applyFont="1" applyFill="1" applyBorder="1" applyAlignment="1" applyProtection="1">
      <alignment vertical="center"/>
      <protection locked="0"/>
    </xf>
    <xf numFmtId="170" fontId="17" fillId="0" borderId="6" xfId="4" applyNumberFormat="1" applyFont="1" applyFill="1" applyBorder="1" applyAlignment="1" applyProtection="1">
      <alignment horizontal="right" vertical="center"/>
      <protection locked="0"/>
    </xf>
    <xf numFmtId="3" fontId="23" fillId="3" borderId="6" xfId="4" applyNumberFormat="1" applyFont="1" applyFill="1" applyBorder="1" applyProtection="1">
      <protection locked="0"/>
    </xf>
    <xf numFmtId="165" fontId="17" fillId="3" borderId="12" xfId="4" applyNumberFormat="1" applyFont="1" applyFill="1" applyBorder="1" applyAlignment="1" applyProtection="1">
      <alignment horizontal="right" vertical="center"/>
      <protection locked="0"/>
    </xf>
    <xf numFmtId="165" fontId="17" fillId="0" borderId="13" xfId="4" applyNumberFormat="1" applyFont="1" applyFill="1" applyBorder="1" applyAlignment="1" applyProtection="1">
      <alignment horizontal="right" vertical="center"/>
      <protection locked="0"/>
    </xf>
    <xf numFmtId="0" fontId="17" fillId="8" borderId="5" xfId="0" applyFont="1" applyFill="1" applyBorder="1" applyAlignment="1">
      <alignment horizontal="left" vertical="center"/>
    </xf>
    <xf numFmtId="165" fontId="17" fillId="8" borderId="6" xfId="4" applyNumberFormat="1" applyFont="1" applyFill="1" applyBorder="1" applyAlignment="1" applyProtection="1">
      <alignment horizontal="right" vertical="center"/>
      <protection locked="0"/>
    </xf>
    <xf numFmtId="1" fontId="17" fillId="0" borderId="6" xfId="7" applyNumberFormat="1" applyFont="1" applyFill="1" applyBorder="1" applyAlignment="1" applyProtection="1">
      <alignment horizontal="right" vertical="center"/>
      <protection locked="0"/>
    </xf>
    <xf numFmtId="0" fontId="23" fillId="0" borderId="14" xfId="5" applyFont="1" applyBorder="1"/>
    <xf numFmtId="168" fontId="23" fillId="0" borderId="15" xfId="5" applyNumberFormat="1" applyFont="1" applyBorder="1" applyAlignment="1">
      <alignment horizontal="right"/>
    </xf>
    <xf numFmtId="0" fontId="23" fillId="0" borderId="16" xfId="5" applyFont="1" applyBorder="1"/>
    <xf numFmtId="168" fontId="23" fillId="0" borderId="0" xfId="5" applyNumberFormat="1" applyFont="1"/>
    <xf numFmtId="0" fontId="23" fillId="0" borderId="17" xfId="5" applyFont="1" applyBorder="1" applyAlignment="1">
      <alignment horizontal="left" indent="1"/>
    </xf>
    <xf numFmtId="168" fontId="23" fillId="0" borderId="6" xfId="5" applyNumberFormat="1" applyFont="1" applyBorder="1" applyAlignment="1" applyProtection="1">
      <alignment horizontal="right"/>
      <protection locked="0"/>
    </xf>
    <xf numFmtId="168" fontId="23" fillId="0" borderId="12" xfId="5" applyNumberFormat="1" applyFont="1" applyBorder="1" applyAlignment="1" applyProtection="1">
      <alignment horizontal="right"/>
      <protection locked="0"/>
    </xf>
    <xf numFmtId="165" fontId="15" fillId="0" borderId="6" xfId="4" applyNumberFormat="1" applyFont="1" applyFill="1" applyBorder="1" applyAlignment="1" applyProtection="1">
      <alignment horizontal="right" vertical="center"/>
    </xf>
    <xf numFmtId="165" fontId="15" fillId="0" borderId="18" xfId="4" applyNumberFormat="1" applyFont="1" applyFill="1" applyBorder="1" applyAlignment="1" applyProtection="1">
      <alignment horizontal="right" vertical="center"/>
    </xf>
    <xf numFmtId="165" fontId="15" fillId="0" borderId="15" xfId="4" applyNumberFormat="1" applyFont="1" applyFill="1" applyBorder="1" applyAlignment="1" applyProtection="1">
      <alignment horizontal="right" vertical="center"/>
    </xf>
    <xf numFmtId="165" fontId="17" fillId="0" borderId="12" xfId="4" applyNumberFormat="1" applyFont="1" applyFill="1" applyBorder="1" applyAlignment="1" applyProtection="1">
      <alignment horizontal="right" vertical="center"/>
      <protection locked="0"/>
    </xf>
    <xf numFmtId="165" fontId="17" fillId="0" borderId="20" xfId="4" applyNumberFormat="1" applyFont="1" applyFill="1" applyBorder="1" applyAlignment="1" applyProtection="1">
      <alignment horizontal="right" vertical="center"/>
      <protection locked="0"/>
    </xf>
    <xf numFmtId="165" fontId="17" fillId="3" borderId="21" xfId="4" applyNumberFormat="1" applyFont="1" applyFill="1" applyBorder="1" applyAlignment="1" applyProtection="1">
      <alignment horizontal="right" vertical="center"/>
      <protection locked="0"/>
    </xf>
    <xf numFmtId="165" fontId="17" fillId="0" borderId="22" xfId="4" applyNumberFormat="1" applyFont="1" applyFill="1" applyBorder="1" applyAlignment="1" applyProtection="1">
      <alignment horizontal="right" vertical="center"/>
      <protection locked="0"/>
    </xf>
    <xf numFmtId="0" fontId="23" fillId="0" borderId="0" xfId="5" applyFont="1"/>
    <xf numFmtId="49" fontId="24" fillId="0" borderId="0" xfId="5" applyNumberFormat="1" applyFont="1"/>
    <xf numFmtId="165" fontId="15" fillId="3" borderId="6" xfId="4" applyNumberFormat="1" applyFont="1" applyFill="1" applyBorder="1" applyAlignment="1" applyProtection="1">
      <alignment horizontal="right" vertical="center"/>
      <protection locked="0"/>
    </xf>
    <xf numFmtId="0" fontId="26" fillId="0" borderId="5" xfId="0" applyFont="1" applyBorder="1" applyAlignment="1">
      <alignment horizontal="left" vertical="center" indent="6"/>
    </xf>
    <xf numFmtId="0" fontId="26" fillId="0" borderId="5" xfId="0" applyFont="1" applyBorder="1" applyAlignment="1">
      <alignment horizontal="left" vertical="center" indent="4"/>
    </xf>
    <xf numFmtId="0" fontId="26" fillId="0" borderId="5" xfId="0" applyFont="1" applyBorder="1" applyAlignment="1">
      <alignment horizontal="left" vertical="center" indent="2"/>
    </xf>
    <xf numFmtId="0" fontId="27" fillId="0" borderId="5" xfId="0" applyFont="1" applyBorder="1" applyAlignment="1">
      <alignment horizontal="left" vertical="center" indent="4"/>
    </xf>
    <xf numFmtId="0" fontId="26" fillId="0" borderId="5" xfId="0" applyFont="1" applyBorder="1" applyAlignment="1">
      <alignment horizontal="left" vertical="center"/>
    </xf>
    <xf numFmtId="0" fontId="26" fillId="3" borderId="9" xfId="0" applyFont="1" applyFill="1" applyBorder="1" applyAlignment="1">
      <alignment horizontal="left" vertical="center" indent="2"/>
    </xf>
    <xf numFmtId="0" fontId="28" fillId="0" borderId="5" xfId="0" applyFont="1" applyBorder="1" applyAlignment="1">
      <alignment horizontal="left"/>
    </xf>
    <xf numFmtId="165" fontId="17" fillId="0" borderId="6" xfId="4" applyNumberFormat="1" applyFont="1" applyFill="1" applyBorder="1" applyAlignment="1" applyProtection="1">
      <alignment horizontal="right"/>
      <protection locked="0"/>
    </xf>
    <xf numFmtId="0" fontId="29" fillId="8" borderId="5" xfId="0" applyFont="1" applyFill="1" applyBorder="1" applyAlignment="1">
      <alignment horizontal="left" vertical="center"/>
    </xf>
    <xf numFmtId="0" fontId="26" fillId="0" borderId="5" xfId="0" applyFont="1" applyBorder="1" applyAlignment="1">
      <alignment horizontal="left"/>
    </xf>
    <xf numFmtId="165" fontId="17" fillId="3" borderId="6" xfId="4" applyNumberFormat="1" applyFont="1" applyFill="1" applyBorder="1" applyAlignment="1" applyProtection="1">
      <alignment horizontal="right"/>
      <protection locked="0"/>
    </xf>
    <xf numFmtId="0" fontId="29" fillId="3" borderId="5" xfId="0" applyFont="1" applyFill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0" fillId="10" borderId="0" xfId="0" applyFill="1"/>
    <xf numFmtId="164" fontId="17" fillId="0" borderId="6" xfId="1" applyFont="1" applyFill="1" applyBorder="1" applyAlignment="1" applyProtection="1">
      <alignment horizontal="right" vertical="center"/>
      <protection locked="0"/>
    </xf>
    <xf numFmtId="1" fontId="31" fillId="0" borderId="0" xfId="3" applyNumberFormat="1" applyFont="1" applyAlignment="1">
      <alignment horizontal="center"/>
    </xf>
    <xf numFmtId="0" fontId="32" fillId="11" borderId="5" xfId="0" quotePrefix="1" applyFont="1" applyFill="1" applyBorder="1" applyAlignment="1">
      <alignment horizontal="left" vertical="center" indent="4"/>
    </xf>
    <xf numFmtId="0" fontId="27" fillId="0" borderId="5" xfId="0" applyFont="1" applyBorder="1" applyAlignment="1">
      <alignment horizontal="left" vertical="center" indent="3"/>
    </xf>
    <xf numFmtId="0" fontId="27" fillId="8" borderId="5" xfId="0" applyFont="1" applyFill="1" applyBorder="1" applyAlignment="1">
      <alignment horizontal="left" vertical="center" indent="3"/>
    </xf>
    <xf numFmtId="9" fontId="15" fillId="8" borderId="6" xfId="2" applyFont="1" applyFill="1" applyBorder="1" applyAlignment="1" applyProtection="1">
      <alignment horizontal="right" vertical="center"/>
      <protection locked="0"/>
    </xf>
    <xf numFmtId="167" fontId="26" fillId="0" borderId="6" xfId="4" applyNumberFormat="1" applyFont="1" applyFill="1" applyBorder="1" applyAlignment="1" applyProtection="1">
      <alignment horizontal="right" vertical="center"/>
    </xf>
    <xf numFmtId="43" fontId="17" fillId="12" borderId="6" xfId="4" applyFont="1" applyFill="1" applyBorder="1" applyAlignment="1" applyProtection="1">
      <alignment horizontal="right" vertical="center"/>
      <protection locked="0"/>
    </xf>
    <xf numFmtId="167" fontId="26" fillId="3" borderId="6" xfId="4" applyNumberFormat="1" applyFont="1" applyFill="1" applyBorder="1" applyAlignment="1" applyProtection="1">
      <alignment horizontal="right" vertical="center"/>
    </xf>
    <xf numFmtId="43" fontId="26" fillId="3" borderId="6" xfId="4" applyFont="1" applyFill="1" applyBorder="1" applyAlignment="1" applyProtection="1">
      <alignment horizontal="right" vertical="center"/>
    </xf>
    <xf numFmtId="43" fontId="17" fillId="13" borderId="6" xfId="4" applyFont="1" applyFill="1" applyBorder="1" applyAlignment="1" applyProtection="1">
      <alignment horizontal="right" vertical="center"/>
      <protection locked="0"/>
    </xf>
    <xf numFmtId="43" fontId="17" fillId="13" borderId="6" xfId="4" applyFont="1" applyFill="1" applyBorder="1" applyAlignment="1" applyProtection="1">
      <alignment horizontal="left" vertical="center"/>
      <protection locked="0"/>
    </xf>
    <xf numFmtId="43" fontId="17" fillId="13" borderId="6" xfId="4" applyFont="1" applyFill="1" applyBorder="1" applyAlignment="1" applyProtection="1">
      <alignment horizontal="right" vertical="center"/>
    </xf>
    <xf numFmtId="165" fontId="17" fillId="13" borderId="6" xfId="4" applyNumberFormat="1" applyFont="1" applyFill="1" applyBorder="1" applyAlignment="1" applyProtection="1">
      <alignment horizontal="right" vertical="center"/>
      <protection locked="0"/>
    </xf>
    <xf numFmtId="43" fontId="0" fillId="0" borderId="0" xfId="0" applyNumberFormat="1"/>
    <xf numFmtId="43" fontId="17" fillId="11" borderId="6" xfId="4" applyFont="1" applyFill="1" applyBorder="1" applyAlignment="1" applyProtection="1">
      <alignment horizontal="right" vertical="center"/>
      <protection locked="0"/>
    </xf>
    <xf numFmtId="43" fontId="15" fillId="0" borderId="6" xfId="4" applyFont="1" applyFill="1" applyBorder="1" applyAlignment="1" applyProtection="1">
      <alignment horizontal="right" vertical="center"/>
      <protection locked="0"/>
    </xf>
    <xf numFmtId="1" fontId="4" fillId="2" borderId="0" xfId="0" applyNumberFormat="1" applyFont="1" applyFill="1" applyAlignment="1">
      <alignment horizontal="center"/>
    </xf>
    <xf numFmtId="1" fontId="8" fillId="2" borderId="0" xfId="3" applyNumberFormat="1" applyFont="1" applyFill="1" applyAlignment="1">
      <alignment horizontal="center"/>
    </xf>
    <xf numFmtId="1" fontId="9" fillId="2" borderId="0" xfId="3" applyNumberFormat="1" applyFont="1" applyFill="1" applyAlignment="1">
      <alignment horizontal="center"/>
    </xf>
    <xf numFmtId="1" fontId="10" fillId="5" borderId="0" xfId="3" applyNumberFormat="1" applyFont="1" applyFill="1" applyAlignment="1">
      <alignment horizontal="center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Protection="1"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/>
      <protection locked="0"/>
    </xf>
  </cellXfs>
  <cellStyles count="13">
    <cellStyle name="Millares" xfId="1" builtinId="3"/>
    <cellStyle name="Millares 2" xfId="4" xr:uid="{8A201A37-C0D9-4B98-860D-8277963AF58E}"/>
    <cellStyle name="Millares 2 2" xfId="6" xr:uid="{F6646B9E-B5C1-4141-8CBB-9A9F9378235B}"/>
    <cellStyle name="Millares 2 2 2" xfId="11" xr:uid="{2F06CE22-1140-46D5-AA74-4F10776E88A9}"/>
    <cellStyle name="Millares 3" xfId="10" xr:uid="{BC02932E-1D29-4933-91E3-02E6683E28EA}"/>
    <cellStyle name="Millares 4" xfId="8" xr:uid="{6E2E393E-BCE4-4818-AF4F-7606F59BF0B3}"/>
    <cellStyle name="Moneda 2" xfId="7" xr:uid="{1B49A2D1-98AC-4648-97A9-064B46468751}"/>
    <cellStyle name="Moneda 3" xfId="12" xr:uid="{6147E279-964C-4C9A-8168-93030D54172D}"/>
    <cellStyle name="Normal" xfId="0" builtinId="0"/>
    <cellStyle name="Normal 2_ALDAMA 03 MAR 2009 MODIF_PIGOO CONCENTRADOPROG_INDIC_GESTION ORG  OP rvh" xfId="5" xr:uid="{24ABCF42-95D7-443E-AFFF-754BEA93A2D7}"/>
    <cellStyle name="Normal 3" xfId="9" xr:uid="{2549EE83-6ACF-4F3F-A033-1B9622785916}"/>
    <cellStyle name="Normal_FORMATO DEL PPTO. 2002  SEPT. 4" xfId="3" xr:uid="{791CE883-0653-49E4-93DB-C121FA9F2972}"/>
    <cellStyle name="Porcentaje" xfId="2" builtinId="5"/>
  </cellStyles>
  <dxfs count="0"/>
  <tableStyles count="0" defaultTableStyle="TableStyleMedium2" defaultPivotStyle="PivotStyleLight16"/>
  <colors>
    <mruColors>
      <color rgb="FF0000CC"/>
      <color rgb="FF5D26F8"/>
      <color rgb="FFEA3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412750</xdr:colOff>
      <xdr:row>0</xdr:row>
      <xdr:rowOff>1</xdr:rowOff>
    </xdr:from>
    <xdr:ext cx="1141943" cy="1005152"/>
    <xdr:pic>
      <xdr:nvPicPr>
        <xdr:cNvPr id="2" name="3 Imagen">
          <a:extLst>
            <a:ext uri="{FF2B5EF4-FFF2-40B4-BE49-F238E27FC236}">
              <a16:creationId xmlns:a16="http://schemas.microsoft.com/office/drawing/2014/main" id="{58097C62-9D9E-4EC8-8189-CDDCCF358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5175" y="1"/>
          <a:ext cx="1141943" cy="1005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0" cy="973667"/>
    <xdr:pic>
      <xdr:nvPicPr>
        <xdr:cNvPr id="3" name="4 Imagen">
          <a:extLst>
            <a:ext uri="{FF2B5EF4-FFF2-40B4-BE49-F238E27FC236}">
              <a16:creationId xmlns:a16="http://schemas.microsoft.com/office/drawing/2014/main" id="{DB22CA2D-6D9E-4E90-8C6D-094532DDD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0"/>
          <a:ext cx="0" cy="97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2381</xdr:colOff>
      <xdr:row>0</xdr:row>
      <xdr:rowOff>0</xdr:rowOff>
    </xdr:from>
    <xdr:ext cx="0" cy="817033"/>
    <xdr:pic>
      <xdr:nvPicPr>
        <xdr:cNvPr id="4" name="3 Imagen">
          <a:extLst>
            <a:ext uri="{FF2B5EF4-FFF2-40B4-BE49-F238E27FC236}">
              <a16:creationId xmlns:a16="http://schemas.microsoft.com/office/drawing/2014/main" id="{151DD97F-1B0C-4E53-BC03-9B46FEA3F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031" y="0"/>
          <a:ext cx="0" cy="817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UESTO%202011%20JMAS%20CHIHUAHUAvint.RESUMEN%20PARA%20CAPTURA%20SIST%20CONTA%20ING%20VILLALBA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arametros"/>
      <sheetName val="Inflación"/>
      <sheetName val="Efic. Global "/>
      <sheetName val="C.N.A."/>
      <sheetName val="Evaluacion"/>
      <sheetName val="Total ctas."/>
      <sheetName val="Concen."/>
      <sheetName val="Edo. Activ."/>
      <sheetName val="Fac-cob"/>
      <sheetName val="RESUMEN GASTOS"/>
      <sheetName val="Gastos de Admin."/>
      <sheetName val="Gastos de Comer."/>
      <sheetName val="Gastos de Oper."/>
      <sheetName val="Gastos de Saneam."/>
      <sheetName val="Inversiones"/>
      <sheetName val="Creditos"/>
      <sheetName val="Ingresos"/>
      <sheetName val="Serv. Med. Dom"/>
      <sheetName val="Tarifas serv med Dom"/>
      <sheetName val="Serv. Med. Com"/>
      <sheetName val="Tarifas serv med Com"/>
      <sheetName val="Serv. Med. ind"/>
      <sheetName val="Tarifas serv med ind"/>
      <sheetName val="Serv. Med. Esc"/>
      <sheetName val="Serv. Med. Pub"/>
      <sheetName val="Cuota fija"/>
      <sheetName val="Estructura"/>
      <sheetName val="Sueldo(Pl-Ad)"/>
      <sheetName val="Sueldo(Ev-Ad)"/>
      <sheetName val="Sueldo(Pl-Co)"/>
      <sheetName val="Sueldo(Ev-Co)"/>
      <sheetName val="Sueldo(Pl-Op)"/>
      <sheetName val="Sueldo(Ev-Op)"/>
      <sheetName val="Sueldo(Pl-Pt)"/>
      <sheetName val="Sueldo(Ev-Pt)"/>
      <sheetName val="Sueldo(Pensi)"/>
      <sheetName val="C.F.E."/>
      <sheetName val="Personal"/>
      <sheetName val="Activos U"/>
      <sheetName val="Activos 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34">
          <cell r="H234">
            <v>152009798.40846276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FD6D-F12D-4AA7-8DA6-2455CC5D7B7B}">
  <sheetPr>
    <tabColor rgb="FFFFFF00"/>
  </sheetPr>
  <dimension ref="A1:T212"/>
  <sheetViews>
    <sheetView tabSelected="1" zoomScaleNormal="100" workbookViewId="0">
      <pane xSplit="1" ySplit="10" topLeftCell="B203" activePane="bottomRight" state="frozen"/>
      <selection pane="topRight" activeCell="B1" sqref="B1"/>
      <selection pane="bottomLeft" activeCell="A11" sqref="A11"/>
      <selection pane="bottomRight" activeCell="A213" sqref="A213"/>
    </sheetView>
  </sheetViews>
  <sheetFormatPr baseColWidth="10" defaultRowHeight="15" x14ac:dyDescent="0.25"/>
  <cols>
    <col min="1" max="1" width="66.5703125" style="102" customWidth="1"/>
    <col min="2" max="2" width="20.5703125" style="91" bestFit="1" customWidth="1"/>
    <col min="3" max="4" width="20" style="102" bestFit="1" customWidth="1"/>
    <col min="5" max="5" width="19.85546875" style="102" customWidth="1"/>
    <col min="6" max="11" width="20" style="102" bestFit="1" customWidth="1"/>
    <col min="12" max="12" width="20.5703125" style="102" customWidth="1"/>
    <col min="13" max="13" width="20" style="102" bestFit="1" customWidth="1"/>
    <col min="14" max="14" width="20.5703125" style="102" bestFit="1" customWidth="1"/>
    <col min="15" max="15" width="19.42578125" style="102" bestFit="1" customWidth="1"/>
    <col min="16" max="16" width="27.28515625" style="102" customWidth="1"/>
    <col min="17" max="17" width="18.85546875" style="102" customWidth="1"/>
    <col min="18" max="18" width="10.140625" style="103" customWidth="1"/>
    <col min="19" max="19" width="4.140625" customWidth="1"/>
    <col min="20" max="20" width="22" customWidth="1"/>
    <col min="21" max="21" width="21.28515625" customWidth="1"/>
    <col min="22" max="22" width="11.42578125" customWidth="1"/>
  </cols>
  <sheetData>
    <row r="1" spans="1:20" ht="20.25" x14ac:dyDescent="0.3">
      <c r="A1" s="136" t="s">
        <v>164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" x14ac:dyDescent="0.25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20" ht="15.75" x14ac:dyDescent="0.25">
      <c r="A4" s="138" t="s">
        <v>167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0" ht="8.25" customHeight="1" x14ac:dyDescent="0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</row>
    <row r="7" spans="1:20" ht="8.25" customHeight="1" x14ac:dyDescent="0.2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</row>
    <row r="8" spans="1:20" ht="15.75" x14ac:dyDescent="0.25">
      <c r="A8" s="2"/>
      <c r="B8" s="120"/>
      <c r="C8" s="3"/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/>
      <c r="O8" s="4"/>
      <c r="P8" s="4"/>
      <c r="Q8" s="4"/>
      <c r="R8" s="5"/>
    </row>
    <row r="9" spans="1:20" ht="31.5" x14ac:dyDescent="0.25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7" t="s">
        <v>12</v>
      </c>
      <c r="L9" s="7" t="s">
        <v>13</v>
      </c>
      <c r="M9" s="7" t="s">
        <v>14</v>
      </c>
      <c r="N9" s="7" t="s">
        <v>15</v>
      </c>
      <c r="O9" s="7" t="s">
        <v>16</v>
      </c>
      <c r="P9" s="7" t="s">
        <v>17</v>
      </c>
      <c r="Q9" s="7" t="s">
        <v>18</v>
      </c>
      <c r="R9" s="8" t="s">
        <v>19</v>
      </c>
    </row>
    <row r="10" spans="1:20" ht="15.75" x14ac:dyDescent="0.25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</row>
    <row r="11" spans="1:20" ht="15.75" x14ac:dyDescent="0.25">
      <c r="A11" s="12" t="s">
        <v>21</v>
      </c>
      <c r="B11" s="13">
        <f>+B12+B19</f>
        <v>613029.27999999991</v>
      </c>
      <c r="C11" s="13">
        <f>+C12+C19</f>
        <v>486936.57999999996</v>
      </c>
      <c r="D11" s="13">
        <f>+D12+D19</f>
        <v>1011168.6</v>
      </c>
      <c r="E11" s="13">
        <f t="shared" ref="E11:M11" si="0">+E12+E19</f>
        <v>539029.58000000007</v>
      </c>
      <c r="F11" s="13">
        <f t="shared" si="0"/>
        <v>752285.85</v>
      </c>
      <c r="G11" s="13">
        <f t="shared" si="0"/>
        <v>716161.86</v>
      </c>
      <c r="H11" s="13">
        <f t="shared" si="0"/>
        <v>626234.34</v>
      </c>
      <c r="I11" s="13">
        <f t="shared" si="0"/>
        <v>548473.13000000012</v>
      </c>
      <c r="J11" s="13">
        <f t="shared" si="0"/>
        <v>513492.20999999996</v>
      </c>
      <c r="K11" s="13">
        <f t="shared" si="0"/>
        <v>548358.83999999985</v>
      </c>
      <c r="L11" s="13">
        <f t="shared" si="0"/>
        <v>467855.95999999996</v>
      </c>
      <c r="M11" s="13">
        <f t="shared" si="0"/>
        <v>500101.71</v>
      </c>
      <c r="N11" s="13">
        <f>+N12+N18</f>
        <v>672957.20999999857</v>
      </c>
      <c r="O11" s="13">
        <f>+O12+O19</f>
        <v>5615136.1200000001</v>
      </c>
      <c r="P11" s="13">
        <f>+P12+P19</f>
        <v>5615136.1200000001</v>
      </c>
      <c r="Q11" s="13">
        <f>+N11-P11</f>
        <v>-4942178.910000002</v>
      </c>
      <c r="R11" s="14">
        <f t="shared" ref="R11:R17" si="1">+Q11/P11</f>
        <v>-0.88015300152688047</v>
      </c>
    </row>
    <row r="12" spans="1:20" x14ac:dyDescent="0.25">
      <c r="A12" s="15" t="s">
        <v>22</v>
      </c>
      <c r="B12" s="16">
        <f>B13</f>
        <v>612766.07999999996</v>
      </c>
      <c r="C12" s="16">
        <f t="shared" ref="C12:M12" si="2">C13</f>
        <v>457787.41</v>
      </c>
      <c r="D12" s="16">
        <f t="shared" si="2"/>
        <v>667559.6</v>
      </c>
      <c r="E12" s="16">
        <f t="shared" si="2"/>
        <v>539028.04</v>
      </c>
      <c r="F12" s="16">
        <f t="shared" si="2"/>
        <v>752294.26</v>
      </c>
      <c r="G12" s="16">
        <f t="shared" si="2"/>
        <v>716173.86</v>
      </c>
      <c r="H12" s="16">
        <f t="shared" si="2"/>
        <v>626245.23</v>
      </c>
      <c r="I12" s="16">
        <f t="shared" si="2"/>
        <v>548445.33000000007</v>
      </c>
      <c r="J12" s="16">
        <f t="shared" si="2"/>
        <v>513504.48</v>
      </c>
      <c r="K12" s="16">
        <f t="shared" si="2"/>
        <v>548370.37999999989</v>
      </c>
      <c r="L12" s="16">
        <f t="shared" si="2"/>
        <v>467688.76999999996</v>
      </c>
      <c r="M12" s="16">
        <f t="shared" si="2"/>
        <v>500104.53</v>
      </c>
      <c r="N12" s="16">
        <f>+N13-N16-N17</f>
        <v>664838.89999999851</v>
      </c>
      <c r="O12" s="16">
        <f>+O13+O16+O17</f>
        <v>5615136.1200000001</v>
      </c>
      <c r="P12" s="16">
        <f>+P13+P16+P17</f>
        <v>5615136.1200000001</v>
      </c>
      <c r="Q12" s="16">
        <f>+N12-P12</f>
        <v>-4950297.2200000016</v>
      </c>
      <c r="R12" s="17">
        <f t="shared" si="1"/>
        <v>-0.88159879194522561</v>
      </c>
      <c r="T12" s="133"/>
    </row>
    <row r="13" spans="1:20" x14ac:dyDescent="0.25">
      <c r="A13" s="18" t="s">
        <v>23</v>
      </c>
      <c r="B13" s="16">
        <f>+B14+B15</f>
        <v>612766.07999999996</v>
      </c>
      <c r="C13" s="16">
        <f>+C14+C15</f>
        <v>457787.41</v>
      </c>
      <c r="D13" s="16">
        <f t="shared" ref="D13:M13" si="3">+D14+D15</f>
        <v>667559.6</v>
      </c>
      <c r="E13" s="16">
        <f t="shared" si="3"/>
        <v>539028.04</v>
      </c>
      <c r="F13" s="16">
        <f t="shared" si="3"/>
        <v>752294.26</v>
      </c>
      <c r="G13" s="16">
        <f t="shared" si="3"/>
        <v>716173.86</v>
      </c>
      <c r="H13" s="16">
        <f t="shared" si="3"/>
        <v>626245.23</v>
      </c>
      <c r="I13" s="16">
        <f t="shared" si="3"/>
        <v>548445.33000000007</v>
      </c>
      <c r="J13" s="16">
        <f t="shared" si="3"/>
        <v>513504.48</v>
      </c>
      <c r="K13" s="16">
        <f t="shared" si="3"/>
        <v>548370.37999999989</v>
      </c>
      <c r="L13" s="16">
        <f t="shared" si="3"/>
        <v>467688.76999999996</v>
      </c>
      <c r="M13" s="16">
        <f t="shared" si="3"/>
        <v>500104.53</v>
      </c>
      <c r="N13" s="16">
        <f>+N14+N15</f>
        <v>6949967.9699999988</v>
      </c>
      <c r="O13" s="16">
        <f>+O14+O15</f>
        <v>5615136.1200000001</v>
      </c>
      <c r="P13" s="16">
        <f>+P14+P15</f>
        <v>5615136.1200000001</v>
      </c>
      <c r="Q13" s="16">
        <f>+N13-P13</f>
        <v>1334831.8499999987</v>
      </c>
      <c r="R13" s="17">
        <f t="shared" si="1"/>
        <v>0.23772030124890342</v>
      </c>
    </row>
    <row r="14" spans="1:20" x14ac:dyDescent="0.25">
      <c r="A14" s="105" t="s">
        <v>24</v>
      </c>
      <c r="B14" s="19">
        <v>552322.99</v>
      </c>
      <c r="C14" s="19">
        <v>399910.62</v>
      </c>
      <c r="D14" s="19">
        <v>607854.61</v>
      </c>
      <c r="E14" s="19">
        <v>493120.94</v>
      </c>
      <c r="F14" s="19">
        <v>708726.59</v>
      </c>
      <c r="G14" s="19">
        <v>679910.83</v>
      </c>
      <c r="H14" s="20">
        <v>589479.35</v>
      </c>
      <c r="I14" s="20">
        <v>516644.08</v>
      </c>
      <c r="J14" s="20">
        <v>484513.17</v>
      </c>
      <c r="K14" s="19">
        <v>524643.93999999994</v>
      </c>
      <c r="L14" s="19">
        <v>422167.1</v>
      </c>
      <c r="M14" s="19">
        <v>486019.7</v>
      </c>
      <c r="N14" s="19">
        <f t="shared" ref="N14:N19" si="4">SUM(B14:M14)</f>
        <v>6465313.919999999</v>
      </c>
      <c r="O14" s="19">
        <v>5050131.12</v>
      </c>
      <c r="P14" s="19">
        <f t="shared" ref="P14:P19" si="5">+O14/12*$R$20</f>
        <v>5050131.12</v>
      </c>
      <c r="Q14" s="19">
        <f t="shared" ref="Q14:Q19" si="6">+N14-P14</f>
        <v>1415182.7999999989</v>
      </c>
      <c r="R14" s="21">
        <f t="shared" si="1"/>
        <v>0.28022694190957936</v>
      </c>
    </row>
    <row r="15" spans="1:20" x14ac:dyDescent="0.25">
      <c r="A15" s="105" t="s">
        <v>25</v>
      </c>
      <c r="B15" s="19">
        <f>12384.02+24667.42+6977.9+13196.55+3217.2</f>
        <v>60443.09</v>
      </c>
      <c r="C15" s="19">
        <v>57876.789999999994</v>
      </c>
      <c r="D15" s="19">
        <f>9476.2+10265.52+2891.35+17018.21+20053.71</f>
        <v>59704.99</v>
      </c>
      <c r="E15" s="19">
        <f>9534.48+2387.91+12204.39+14773.92+7006.4</f>
        <v>45907.1</v>
      </c>
      <c r="F15" s="19">
        <f>9342.8+4500+7427.53+9255.76+13041.58</f>
        <v>43567.67</v>
      </c>
      <c r="G15" s="19">
        <f>8100+6229.24+16797.43+5136.36</f>
        <v>36263.03</v>
      </c>
      <c r="H15" s="20">
        <f>9700+3110.32+5172.05+18783.51</f>
        <v>36765.879999999997</v>
      </c>
      <c r="I15" s="20">
        <f>19046.4+3200+1050+2711.91+5792.94</f>
        <v>31801.25</v>
      </c>
      <c r="J15" s="20">
        <f>9455.2+5900+5381.84+7752.55+501.72</f>
        <v>28991.31</v>
      </c>
      <c r="K15" s="19">
        <f>8501.72+3699.34+851.72+7143.85+3529.81</f>
        <v>23726.44</v>
      </c>
      <c r="L15" s="19">
        <f>18776.4+7400+651.73+6414.97+12278.57</f>
        <v>45521.67</v>
      </c>
      <c r="M15" s="19">
        <f>1043.97+1700+1250+5412.86+4678</f>
        <v>14084.83</v>
      </c>
      <c r="N15" s="19">
        <f t="shared" si="4"/>
        <v>484654.05000000005</v>
      </c>
      <c r="O15" s="19">
        <f>53768+283712+14766+144510+68249</f>
        <v>565005</v>
      </c>
      <c r="P15" s="19">
        <f t="shared" si="5"/>
        <v>565005</v>
      </c>
      <c r="Q15" s="19">
        <f t="shared" si="6"/>
        <v>-80350.949999999953</v>
      </c>
      <c r="R15" s="21">
        <f t="shared" si="1"/>
        <v>-0.14221281227599747</v>
      </c>
    </row>
    <row r="16" spans="1:20" x14ac:dyDescent="0.25">
      <c r="A16" s="106" t="s">
        <v>26</v>
      </c>
      <c r="B16" s="125">
        <v>18395.36</v>
      </c>
      <c r="C16" s="125">
        <v>16234.45</v>
      </c>
      <c r="D16" s="125">
        <v>20176.849999999999</v>
      </c>
      <c r="E16" s="125">
        <v>21873.4</v>
      </c>
      <c r="F16" s="125">
        <v>21299.79</v>
      </c>
      <c r="G16" s="125">
        <v>23075.51</v>
      </c>
      <c r="H16" s="127">
        <v>23641.86</v>
      </c>
      <c r="I16" s="128">
        <v>23093.919999999998</v>
      </c>
      <c r="J16" s="128">
        <v>22592.280000000006</v>
      </c>
      <c r="K16" s="125">
        <v>22603.39</v>
      </c>
      <c r="L16" s="125">
        <v>20496.93</v>
      </c>
      <c r="M16" s="125">
        <v>22803.15</v>
      </c>
      <c r="N16" s="22">
        <f t="shared" si="4"/>
        <v>256286.88999999998</v>
      </c>
      <c r="O16" s="22"/>
      <c r="P16" s="19">
        <f t="shared" si="5"/>
        <v>0</v>
      </c>
      <c r="Q16" s="19">
        <f t="shared" si="6"/>
        <v>256286.88999999998</v>
      </c>
      <c r="R16" s="21" t="e">
        <f t="shared" si="1"/>
        <v>#DIV/0!</v>
      </c>
    </row>
    <row r="17" spans="1:20" x14ac:dyDescent="0.25">
      <c r="A17" s="106" t="s">
        <v>27</v>
      </c>
      <c r="B17" s="125">
        <v>40233.69</v>
      </c>
      <c r="C17" s="125">
        <v>29365.780000000002</v>
      </c>
      <c r="D17" s="125">
        <v>56661.969999999994</v>
      </c>
      <c r="E17" s="125">
        <v>21096.22</v>
      </c>
      <c r="F17" s="125">
        <v>1786323.56</v>
      </c>
      <c r="G17" s="125">
        <v>2031797.9400000002</v>
      </c>
      <c r="H17" s="127">
        <v>1866904.54</v>
      </c>
      <c r="I17" s="128">
        <v>26133.940000000002</v>
      </c>
      <c r="J17" s="128">
        <v>22496.459999999995</v>
      </c>
      <c r="K17" s="125">
        <v>89276.67</v>
      </c>
      <c r="L17" s="125">
        <v>30783.54</v>
      </c>
      <c r="M17" s="125">
        <v>27767.87</v>
      </c>
      <c r="N17" s="22">
        <f t="shared" si="4"/>
        <v>6028842.1800000006</v>
      </c>
      <c r="O17" s="22"/>
      <c r="P17" s="19">
        <f t="shared" si="5"/>
        <v>0</v>
      </c>
      <c r="Q17" s="19">
        <f t="shared" si="6"/>
        <v>6028842.1800000006</v>
      </c>
      <c r="R17" s="21" t="e">
        <f t="shared" si="1"/>
        <v>#DIV/0!</v>
      </c>
    </row>
    <row r="18" spans="1:20" x14ac:dyDescent="0.25">
      <c r="A18" s="106" t="s">
        <v>165</v>
      </c>
      <c r="B18" s="22">
        <v>0</v>
      </c>
      <c r="C18" s="22"/>
      <c r="D18" s="22"/>
      <c r="E18" s="22"/>
      <c r="F18" s="22"/>
      <c r="G18" s="22"/>
      <c r="H18" s="23"/>
      <c r="I18" s="20"/>
      <c r="J18" s="20"/>
      <c r="K18" s="22"/>
      <c r="L18" s="22"/>
      <c r="M18" s="22">
        <v>8118.31</v>
      </c>
      <c r="N18" s="22">
        <f t="shared" si="4"/>
        <v>8118.31</v>
      </c>
      <c r="O18" s="22"/>
      <c r="P18" s="19">
        <f>+O18/12*$Q$23</f>
        <v>0</v>
      </c>
      <c r="Q18" s="19">
        <f t="shared" si="6"/>
        <v>8118.31</v>
      </c>
      <c r="R18" s="21"/>
    </row>
    <row r="19" spans="1:20" x14ac:dyDescent="0.25">
      <c r="A19" s="107" t="s">
        <v>28</v>
      </c>
      <c r="B19" s="19">
        <v>263.2</v>
      </c>
      <c r="C19" s="19">
        <f>29175-25.83</f>
        <v>29149.17</v>
      </c>
      <c r="D19" s="19">
        <f>343618.5-9.5</f>
        <v>343609</v>
      </c>
      <c r="E19" s="19">
        <v>1.54</v>
      </c>
      <c r="F19" s="19">
        <v>-8.41</v>
      </c>
      <c r="G19" s="19">
        <v>-12</v>
      </c>
      <c r="H19" s="19">
        <v>-10.89</v>
      </c>
      <c r="I19" s="20">
        <v>27.8</v>
      </c>
      <c r="J19" s="20">
        <v>-12.27</v>
      </c>
      <c r="K19" s="19">
        <v>-11.54</v>
      </c>
      <c r="L19" s="19">
        <v>167.19</v>
      </c>
      <c r="M19" s="20">
        <v>-2.82</v>
      </c>
      <c r="N19" s="19">
        <f t="shared" si="4"/>
        <v>373159.97</v>
      </c>
      <c r="O19" s="19"/>
      <c r="P19" s="19">
        <f t="shared" si="5"/>
        <v>0</v>
      </c>
      <c r="Q19" s="19">
        <f t="shared" si="6"/>
        <v>373159.97</v>
      </c>
      <c r="R19" s="25" t="e">
        <f>+Q19/P19</f>
        <v>#DIV/0!</v>
      </c>
    </row>
    <row r="20" spans="1:20" x14ac:dyDescent="0.25">
      <c r="A20" s="24"/>
      <c r="B20" s="19"/>
      <c r="C20" s="19"/>
      <c r="D20" s="19"/>
      <c r="E20" s="19"/>
      <c r="F20" s="19"/>
      <c r="G20" s="19"/>
      <c r="H20" s="20"/>
      <c r="I20" s="19"/>
      <c r="J20" s="19"/>
      <c r="K20" s="19"/>
      <c r="L20" s="19"/>
      <c r="M20" s="19"/>
      <c r="N20" s="19"/>
      <c r="O20" s="19"/>
      <c r="P20" s="19"/>
      <c r="Q20" s="19"/>
      <c r="R20" s="26">
        <f>COUNTA(B14:M14)</f>
        <v>12</v>
      </c>
    </row>
    <row r="21" spans="1:20" ht="15.75" x14ac:dyDescent="0.25">
      <c r="A21" s="27" t="s">
        <v>29</v>
      </c>
      <c r="B21" s="28">
        <f>+B22+B34+B35</f>
        <v>535202.10000000009</v>
      </c>
      <c r="C21" s="28">
        <f t="shared" ref="C21:H21" si="7">+C22+C34+C35</f>
        <v>382344.06</v>
      </c>
      <c r="D21" s="28">
        <f t="shared" si="7"/>
        <v>741258.29</v>
      </c>
      <c r="E21" s="28">
        <f t="shared" si="7"/>
        <v>533293.55000000005</v>
      </c>
      <c r="F21" s="28">
        <f t="shared" si="7"/>
        <v>414652.43999999994</v>
      </c>
      <c r="G21" s="28">
        <f t="shared" si="7"/>
        <v>541009.34</v>
      </c>
      <c r="H21" s="28">
        <f t="shared" si="7"/>
        <v>584086.1</v>
      </c>
      <c r="I21" s="28">
        <f>+I22+I33+I34</f>
        <v>373441.94</v>
      </c>
      <c r="J21" s="28">
        <f>+J22+J33+J34</f>
        <v>339549.53</v>
      </c>
      <c r="K21" s="28">
        <f>+K22+K33+K34</f>
        <v>445866.79</v>
      </c>
      <c r="L21" s="28">
        <f>+L22+L33+L34</f>
        <v>475007.68000000005</v>
      </c>
      <c r="M21" s="28">
        <f>+M22+M33+M34</f>
        <v>535802.46</v>
      </c>
      <c r="N21" s="28">
        <f>SUM(B21:M21)</f>
        <v>5901514.2799999993</v>
      </c>
      <c r="O21" s="28">
        <f>O22+O34</f>
        <v>7573135.5700000003</v>
      </c>
      <c r="P21" s="28">
        <f>+P22+P33+P34</f>
        <v>7077663</v>
      </c>
      <c r="Q21" s="28">
        <f>+N21-P21</f>
        <v>-1176148.7200000007</v>
      </c>
      <c r="R21" s="29">
        <f t="shared" ref="R21:R27" si="8">+Q21/P21</f>
        <v>-0.16617755324038466</v>
      </c>
      <c r="T21" s="19"/>
    </row>
    <row r="22" spans="1:20" x14ac:dyDescent="0.25">
      <c r="A22" s="15" t="s">
        <v>30</v>
      </c>
      <c r="B22" s="30">
        <f>+B23+B24+B25</f>
        <v>535202.10000000009</v>
      </c>
      <c r="C22" s="30">
        <f t="shared" ref="C22:M22" si="9">+C23+C24+C25</f>
        <v>382344.06</v>
      </c>
      <c r="D22" s="30">
        <f t="shared" si="9"/>
        <v>506381.89</v>
      </c>
      <c r="E22" s="30">
        <f t="shared" si="9"/>
        <v>533293.55000000005</v>
      </c>
      <c r="F22" s="30">
        <f t="shared" si="9"/>
        <v>382857.66</v>
      </c>
      <c r="G22" s="30">
        <f t="shared" si="9"/>
        <v>458684.33999999997</v>
      </c>
      <c r="H22" s="30">
        <f t="shared" si="9"/>
        <v>505041.80999999994</v>
      </c>
      <c r="I22" s="30">
        <f t="shared" si="9"/>
        <v>373441.94</v>
      </c>
      <c r="J22" s="30">
        <f t="shared" si="9"/>
        <v>339549.53</v>
      </c>
      <c r="K22" s="30">
        <f t="shared" si="9"/>
        <v>445866.79</v>
      </c>
      <c r="L22" s="30">
        <f t="shared" si="9"/>
        <v>475007.68000000005</v>
      </c>
      <c r="M22" s="30">
        <f t="shared" si="9"/>
        <v>421675.93</v>
      </c>
      <c r="N22" s="30">
        <f>+N23+N24+N25+N30</f>
        <v>4896751.0999999996</v>
      </c>
      <c r="O22" s="30">
        <f>O23+O24+O25</f>
        <v>6251466.7200000007</v>
      </c>
      <c r="P22" s="30">
        <f>+P23+P24+P25+P30</f>
        <v>5755994.1500000004</v>
      </c>
      <c r="Q22" s="30">
        <f>+N22-P22</f>
        <v>-859243.05000000075</v>
      </c>
      <c r="R22" s="17">
        <f t="shared" si="8"/>
        <v>-0.14927795748367825</v>
      </c>
    </row>
    <row r="23" spans="1:20" x14ac:dyDescent="0.25">
      <c r="A23" s="108" t="s">
        <v>31</v>
      </c>
      <c r="B23" s="19">
        <v>107527.64</v>
      </c>
      <c r="C23" s="19">
        <v>108837.99</v>
      </c>
      <c r="D23" s="19">
        <v>275256.62</v>
      </c>
      <c r="E23" s="19">
        <v>153779.47</v>
      </c>
      <c r="F23" s="19">
        <v>137033.43</v>
      </c>
      <c r="G23" s="19">
        <v>157555.21</v>
      </c>
      <c r="H23" s="20">
        <v>117239.52</v>
      </c>
      <c r="I23" s="20">
        <v>143174.39999999999</v>
      </c>
      <c r="J23" s="20">
        <v>117239.52</v>
      </c>
      <c r="K23" s="19">
        <v>115739.52</v>
      </c>
      <c r="L23" s="19">
        <v>267623.67</v>
      </c>
      <c r="M23" s="19">
        <v>166135.29999999999</v>
      </c>
      <c r="N23" s="19">
        <f>SUM(B23:M23)</f>
        <v>1867142.2899999998</v>
      </c>
      <c r="O23" s="19">
        <v>1655755.57</v>
      </c>
      <c r="P23" s="19">
        <f>+O23/12*$R$20</f>
        <v>1655755.5699999998</v>
      </c>
      <c r="Q23" s="19">
        <f>+N23-P23</f>
        <v>211386.71999999997</v>
      </c>
      <c r="R23" s="21">
        <f t="shared" si="8"/>
        <v>0.12766782961811204</v>
      </c>
    </row>
    <row r="24" spans="1:20" x14ac:dyDescent="0.25">
      <c r="A24" s="106" t="s">
        <v>32</v>
      </c>
      <c r="B24" s="19">
        <v>96749.02</v>
      </c>
      <c r="C24" s="19">
        <v>69872.81</v>
      </c>
      <c r="D24" s="19">
        <v>46097.58</v>
      </c>
      <c r="E24" s="19">
        <v>94441.86</v>
      </c>
      <c r="F24" s="19">
        <v>70091.789999999994</v>
      </c>
      <c r="G24" s="19">
        <v>49955.98</v>
      </c>
      <c r="H24" s="20">
        <v>54430.86</v>
      </c>
      <c r="I24" s="20">
        <v>41590.07</v>
      </c>
      <c r="J24" s="20">
        <v>36392.5</v>
      </c>
      <c r="K24" s="19">
        <v>32742.04</v>
      </c>
      <c r="L24" s="19">
        <v>26052.59</v>
      </c>
      <c r="M24" s="19">
        <v>27961.79</v>
      </c>
      <c r="N24" s="19">
        <f t="shared" ref="N24:N29" si="10">SUM(B24:M24)</f>
        <v>646378.89</v>
      </c>
      <c r="O24" s="19">
        <v>583321.63</v>
      </c>
      <c r="P24" s="19">
        <f>+O24/12*$R$20</f>
        <v>583321.63</v>
      </c>
      <c r="Q24" s="19">
        <f t="shared" ref="Q24:Q30" si="11">+N24-P24</f>
        <v>63057.260000000009</v>
      </c>
      <c r="R24" s="21">
        <f t="shared" si="8"/>
        <v>0.10810032880145386</v>
      </c>
    </row>
    <row r="25" spans="1:20" x14ac:dyDescent="0.25">
      <c r="A25" s="31" t="s">
        <v>33</v>
      </c>
      <c r="B25" s="30">
        <f>B26+B27+B28+B29+B30</f>
        <v>330925.44000000006</v>
      </c>
      <c r="C25" s="30">
        <f t="shared" ref="C25:M25" si="12">C26+C27+C28+C29+C30</f>
        <v>203633.26</v>
      </c>
      <c r="D25" s="30">
        <f t="shared" si="12"/>
        <v>185027.69000000003</v>
      </c>
      <c r="E25" s="30">
        <f t="shared" si="12"/>
        <v>285072.21999999997</v>
      </c>
      <c r="F25" s="30">
        <f t="shared" si="12"/>
        <v>175732.44</v>
      </c>
      <c r="G25" s="30">
        <f t="shared" si="12"/>
        <v>251173.14999999997</v>
      </c>
      <c r="H25" s="30">
        <f t="shared" si="12"/>
        <v>333371.42999999993</v>
      </c>
      <c r="I25" s="30">
        <f t="shared" si="12"/>
        <v>188677.47</v>
      </c>
      <c r="J25" s="30">
        <f t="shared" si="12"/>
        <v>185917.51</v>
      </c>
      <c r="K25" s="30">
        <f t="shared" si="12"/>
        <v>297385.23</v>
      </c>
      <c r="L25" s="30">
        <f t="shared" si="12"/>
        <v>181331.42</v>
      </c>
      <c r="M25" s="30">
        <f t="shared" si="12"/>
        <v>227578.84</v>
      </c>
      <c r="N25" s="16">
        <f>+N26+N27+N29</f>
        <v>2383229.92</v>
      </c>
      <c r="O25" s="16">
        <f>+O26+O27+O29+O28</f>
        <v>4012389.52</v>
      </c>
      <c r="P25" s="16">
        <f>+P26+P27+P29</f>
        <v>3516916.95</v>
      </c>
      <c r="Q25" s="16">
        <f t="shared" si="11"/>
        <v>-1133687.0300000003</v>
      </c>
      <c r="R25" s="17">
        <f t="shared" si="8"/>
        <v>-0.32235251674055032</v>
      </c>
    </row>
    <row r="26" spans="1:20" x14ac:dyDescent="0.25">
      <c r="A26" s="105" t="s">
        <v>34</v>
      </c>
      <c r="B26" s="19">
        <v>113803.67</v>
      </c>
      <c r="C26" s="19">
        <v>120120.98</v>
      </c>
      <c r="D26" s="19">
        <v>116131.07</v>
      </c>
      <c r="E26" s="19">
        <v>123357.23</v>
      </c>
      <c r="F26" s="19">
        <v>123209.96</v>
      </c>
      <c r="G26" s="19">
        <v>132496.29999999999</v>
      </c>
      <c r="H26" s="20">
        <v>133922.96</v>
      </c>
      <c r="I26" s="20">
        <v>127303.53</v>
      </c>
      <c r="J26" s="20">
        <v>129137.69</v>
      </c>
      <c r="K26" s="19">
        <v>128204.89</v>
      </c>
      <c r="L26" s="19">
        <v>123152.29</v>
      </c>
      <c r="M26" s="19">
        <f>172359.11</f>
        <v>172359.11</v>
      </c>
      <c r="N26" s="19">
        <f>SUM(B26:M26)</f>
        <v>1543199.6799999997</v>
      </c>
      <c r="O26" s="19">
        <v>1831351.11</v>
      </c>
      <c r="P26" s="19">
        <f>+O26/12*$R$20</f>
        <v>1831351.1099999999</v>
      </c>
      <c r="Q26" s="19">
        <f t="shared" si="11"/>
        <v>-288151.43000000017</v>
      </c>
      <c r="R26" s="21"/>
    </row>
    <row r="27" spans="1:20" x14ac:dyDescent="0.25">
      <c r="A27" s="105" t="s">
        <v>35</v>
      </c>
      <c r="B27" s="19">
        <v>22213.69</v>
      </c>
      <c r="C27" s="19">
        <v>30637.81</v>
      </c>
      <c r="D27" s="19">
        <v>22888.080000000002</v>
      </c>
      <c r="E27" s="19">
        <v>33377.51</v>
      </c>
      <c r="F27" s="19">
        <v>26951.48</v>
      </c>
      <c r="G27" s="19">
        <v>37614.29</v>
      </c>
      <c r="H27" s="20">
        <v>35808.69</v>
      </c>
      <c r="I27" s="20">
        <v>31311.72</v>
      </c>
      <c r="J27" s="20">
        <v>30637.81</v>
      </c>
      <c r="K27" s="19">
        <v>25685.08</v>
      </c>
      <c r="L27" s="19">
        <v>27418.52</v>
      </c>
      <c r="M27" s="19">
        <v>0</v>
      </c>
      <c r="N27" s="19">
        <f t="shared" si="10"/>
        <v>324544.68000000005</v>
      </c>
      <c r="O27" s="19">
        <v>265633.98</v>
      </c>
      <c r="P27" s="19">
        <f>+O27/12*$R$20</f>
        <v>265633.98</v>
      </c>
      <c r="Q27" s="19">
        <f t="shared" si="11"/>
        <v>58910.70000000007</v>
      </c>
      <c r="R27" s="21">
        <f t="shared" si="8"/>
        <v>0.22177396129817456</v>
      </c>
    </row>
    <row r="28" spans="1:20" x14ac:dyDescent="0.25">
      <c r="A28" s="105" t="s">
        <v>157</v>
      </c>
      <c r="B28" s="19">
        <v>152936.29</v>
      </c>
      <c r="C28" s="19">
        <v>0</v>
      </c>
      <c r="D28" s="19"/>
      <c r="E28" s="19">
        <v>101058.51</v>
      </c>
      <c r="F28" s="19"/>
      <c r="G28" s="19"/>
      <c r="H28" s="20">
        <v>100110.18</v>
      </c>
      <c r="I28" s="20"/>
      <c r="J28" s="20"/>
      <c r="K28" s="19">
        <v>108488</v>
      </c>
      <c r="L28" s="19"/>
      <c r="M28" s="19"/>
      <c r="N28" s="19">
        <f t="shared" si="10"/>
        <v>462592.98</v>
      </c>
      <c r="O28" s="19">
        <f>6792.07+2110.68+10706.03+4992+1788.54+134.49+130782.88+160222.76+55596.98+110795.6+2780+8770.54</f>
        <v>495472.57</v>
      </c>
      <c r="P28" s="19"/>
      <c r="Q28" s="19"/>
      <c r="R28" s="21"/>
    </row>
    <row r="29" spans="1:20" x14ac:dyDescent="0.25">
      <c r="A29" s="105" t="s">
        <v>36</v>
      </c>
      <c r="B29" s="19">
        <f>11647.18+5018.47+12546.94+12759.42</f>
        <v>41972.01</v>
      </c>
      <c r="C29" s="19">
        <v>52874.469999999994</v>
      </c>
      <c r="D29" s="19">
        <f>25320.29+4921.64+1851.12+8450.35+5465.14</f>
        <v>46008.54</v>
      </c>
      <c r="E29" s="19">
        <f>17124.07+2688.89+2408.03+1400+3657.98</f>
        <v>27278.969999999998</v>
      </c>
      <c r="F29" s="19">
        <f>8722.18+8119.73+5241.23+2250+1246.86</f>
        <v>25580</v>
      </c>
      <c r="G29" s="19">
        <f>11701.89+56337.09+9636.4+1900+1487.18</f>
        <v>81062.559999999983</v>
      </c>
      <c r="H29" s="20">
        <v>63529.600000000006</v>
      </c>
      <c r="I29" s="20">
        <f>19592.47+2611.11+2086.03+2950+2824.61</f>
        <v>30064.22</v>
      </c>
      <c r="J29" s="20">
        <f>8901.89+1111.11+1445.03+10980+3704.86</f>
        <v>26142.89</v>
      </c>
      <c r="K29" s="19">
        <f>18342.47+1878.42+10216.55+4570.12</f>
        <v>35007.56</v>
      </c>
      <c r="L29" s="19">
        <f>15193.79+5831.41+1587.48+5725+2407.33</f>
        <v>30745.010000000002</v>
      </c>
      <c r="M29" s="19">
        <f>15142.07+29500+1669.76+4200+3757.51+208.39+742</f>
        <v>55219.73</v>
      </c>
      <c r="N29" s="19">
        <f t="shared" si="10"/>
        <v>515485.56</v>
      </c>
      <c r="O29" s="19">
        <v>1419931.86</v>
      </c>
      <c r="P29" s="19">
        <f>+O29/12*$R$20</f>
        <v>1419931.86</v>
      </c>
      <c r="Q29" s="19">
        <f t="shared" si="11"/>
        <v>-904446.3</v>
      </c>
      <c r="R29" s="21"/>
    </row>
    <row r="30" spans="1:20" x14ac:dyDescent="0.25">
      <c r="A30" s="106" t="s">
        <v>158</v>
      </c>
      <c r="B30" s="19">
        <v>-0.22</v>
      </c>
      <c r="C30" s="19"/>
      <c r="D30" s="19"/>
      <c r="E30" s="19"/>
      <c r="F30" s="19">
        <v>-9</v>
      </c>
      <c r="G30" s="19"/>
      <c r="H30" s="20"/>
      <c r="I30" s="20">
        <v>-2</v>
      </c>
      <c r="J30" s="20">
        <v>-0.88</v>
      </c>
      <c r="K30" s="19">
        <v>-0.3</v>
      </c>
      <c r="L30" s="19">
        <v>15.6</v>
      </c>
      <c r="M30" s="19">
        <v>0</v>
      </c>
      <c r="N30" s="19">
        <v>0</v>
      </c>
      <c r="O30" s="19"/>
      <c r="P30" s="19">
        <f>+O30/12*$R$20</f>
        <v>0</v>
      </c>
      <c r="Q30" s="19">
        <f t="shared" si="11"/>
        <v>0</v>
      </c>
      <c r="R30" s="32">
        <v>4.7587328311763356E-2</v>
      </c>
    </row>
    <row r="31" spans="1:20" x14ac:dyDescent="0.25">
      <c r="A31" s="121" t="s">
        <v>162</v>
      </c>
      <c r="B31" s="121"/>
      <c r="C31" s="121"/>
      <c r="D31" s="19"/>
      <c r="E31" s="19"/>
      <c r="F31" s="19"/>
      <c r="G31" s="19"/>
      <c r="H31" s="20"/>
      <c r="I31" s="19"/>
      <c r="J31" s="19"/>
      <c r="K31" s="19"/>
      <c r="L31" s="19"/>
      <c r="M31" s="19"/>
      <c r="N31" s="19"/>
      <c r="O31" s="19"/>
      <c r="P31" s="19"/>
      <c r="Q31" s="19"/>
      <c r="R31" s="21"/>
    </row>
    <row r="32" spans="1:20" x14ac:dyDescent="0.25">
      <c r="A32" s="33" t="s">
        <v>37</v>
      </c>
      <c r="B32" s="30">
        <f>+B11-B22</f>
        <v>77827.179999999818</v>
      </c>
      <c r="C32" s="30">
        <f>+C11-C22</f>
        <v>104592.51999999996</v>
      </c>
      <c r="D32" s="30">
        <f>+D11-D22</f>
        <v>504786.70999999996</v>
      </c>
      <c r="E32" s="30">
        <f>+E11-E22</f>
        <v>5736.0300000000279</v>
      </c>
      <c r="F32" s="30">
        <f t="shared" ref="F32:M32" si="13">+F11-F22</f>
        <v>369428.19</v>
      </c>
      <c r="G32" s="30">
        <f t="shared" si="13"/>
        <v>257477.52000000002</v>
      </c>
      <c r="H32" s="30">
        <f t="shared" si="13"/>
        <v>121192.53000000003</v>
      </c>
      <c r="I32" s="30">
        <f t="shared" si="13"/>
        <v>175031.19000000012</v>
      </c>
      <c r="J32" s="30">
        <f t="shared" si="13"/>
        <v>173942.67999999993</v>
      </c>
      <c r="K32" s="30">
        <f t="shared" si="13"/>
        <v>102492.04999999987</v>
      </c>
      <c r="L32" s="30">
        <f t="shared" si="13"/>
        <v>-7151.7200000000885</v>
      </c>
      <c r="M32" s="30">
        <f t="shared" si="13"/>
        <v>78425.780000000028</v>
      </c>
      <c r="N32" s="30">
        <f>+N11-N22</f>
        <v>-4223793.8900000006</v>
      </c>
      <c r="O32" s="30">
        <f>+O11-O22</f>
        <v>-636330.60000000056</v>
      </c>
      <c r="P32" s="30">
        <f>+P11-P22</f>
        <v>-140858.03000000026</v>
      </c>
      <c r="Q32" s="30">
        <f>+N32-P32</f>
        <v>-4082935.8600000003</v>
      </c>
      <c r="R32" s="21">
        <f>+Q32/P32</f>
        <v>28.986177500849564</v>
      </c>
    </row>
    <row r="33" spans="1:19" x14ac:dyDescent="0.25">
      <c r="A33" s="107" t="s">
        <v>38</v>
      </c>
      <c r="B33" s="19">
        <v>0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>
        <v>0</v>
      </c>
      <c r="N33" s="19">
        <v>0</v>
      </c>
      <c r="O33" s="19"/>
      <c r="P33" s="19">
        <f>+O33/12*$R$20</f>
        <v>0</v>
      </c>
      <c r="Q33" s="19">
        <f>+N33-P33</f>
        <v>0</v>
      </c>
      <c r="R33" s="21" t="e">
        <f>+Q33/P33</f>
        <v>#DIV/0!</v>
      </c>
    </row>
    <row r="34" spans="1:19" x14ac:dyDescent="0.25">
      <c r="A34" s="34" t="s">
        <v>39</v>
      </c>
      <c r="B34" s="16">
        <f>B35+B36+B37</f>
        <v>0</v>
      </c>
      <c r="C34" s="16">
        <f t="shared" ref="C34:H34" si="14">+C35+C36+C37</f>
        <v>0</v>
      </c>
      <c r="D34" s="16">
        <f t="shared" si="14"/>
        <v>234876.4</v>
      </c>
      <c r="E34" s="16">
        <f t="shared" si="14"/>
        <v>0</v>
      </c>
      <c r="F34" s="16">
        <f t="shared" si="14"/>
        <v>31794.78</v>
      </c>
      <c r="G34" s="16">
        <f t="shared" si="14"/>
        <v>82325</v>
      </c>
      <c r="H34" s="16">
        <f t="shared" si="14"/>
        <v>79044.289999999994</v>
      </c>
      <c r="I34" s="16">
        <f t="shared" ref="I34:N34" si="15">+I35+I36+I37</f>
        <v>0</v>
      </c>
      <c r="J34" s="16">
        <f t="shared" si="15"/>
        <v>0</v>
      </c>
      <c r="K34" s="16">
        <f t="shared" si="15"/>
        <v>0</v>
      </c>
      <c r="L34" s="16">
        <f t="shared" si="15"/>
        <v>0</v>
      </c>
      <c r="M34" s="16">
        <f t="shared" si="15"/>
        <v>114126.53</v>
      </c>
      <c r="N34" s="16">
        <f t="shared" si="15"/>
        <v>542167</v>
      </c>
      <c r="O34" s="16">
        <f>O35+O37</f>
        <v>1321668.8500000001</v>
      </c>
      <c r="P34" s="16">
        <f>+O34/12*$R$20</f>
        <v>1321668.8500000001</v>
      </c>
      <c r="Q34" s="16">
        <f>+N34-P34</f>
        <v>-779501.85000000009</v>
      </c>
      <c r="R34" s="17">
        <f>+Q34/P34</f>
        <v>-0.58978604965986758</v>
      </c>
      <c r="S34" s="118">
        <v>21</v>
      </c>
    </row>
    <row r="35" spans="1:19" x14ac:dyDescent="0.25">
      <c r="A35" s="105" t="s">
        <v>40</v>
      </c>
      <c r="B35" s="19"/>
      <c r="C35" s="19"/>
      <c r="D35" s="19"/>
      <c r="E35" s="19"/>
      <c r="F35" s="19"/>
      <c r="G35" s="19"/>
      <c r="H35" s="20"/>
      <c r="I35" s="19"/>
      <c r="J35" s="19"/>
      <c r="K35" s="19"/>
      <c r="L35" s="19"/>
      <c r="M35" s="19"/>
      <c r="N35" s="19"/>
      <c r="O35" s="19">
        <v>1211668.8500000001</v>
      </c>
      <c r="P35" s="19"/>
      <c r="Q35" s="19"/>
      <c r="R35" s="21"/>
    </row>
    <row r="36" spans="1:19" x14ac:dyDescent="0.25">
      <c r="A36" s="105" t="s">
        <v>41</v>
      </c>
      <c r="B36" s="19"/>
      <c r="C36" s="19"/>
      <c r="D36" s="19">
        <v>234876.4</v>
      </c>
      <c r="E36" s="19"/>
      <c r="F36" s="19">
        <v>31794.78</v>
      </c>
      <c r="G36" s="19">
        <f>49380+32945</f>
        <v>82325</v>
      </c>
      <c r="H36" s="20">
        <v>79044.289999999994</v>
      </c>
      <c r="I36" s="19"/>
      <c r="J36" s="19"/>
      <c r="K36" s="19"/>
      <c r="L36" s="19"/>
      <c r="M36" s="19">
        <v>114126.53</v>
      </c>
      <c r="N36" s="19">
        <f>SUM(B36:M36)</f>
        <v>542167</v>
      </c>
      <c r="O36" s="19"/>
      <c r="P36" s="19"/>
      <c r="Q36" s="19"/>
      <c r="R36" s="21"/>
    </row>
    <row r="37" spans="1:19" x14ac:dyDescent="0.25">
      <c r="A37" s="105" t="s">
        <v>42</v>
      </c>
      <c r="B37" s="19"/>
      <c r="C37" s="19"/>
      <c r="D37" s="19"/>
      <c r="E37" s="19"/>
      <c r="F37" s="19"/>
      <c r="G37" s="19"/>
      <c r="H37" s="20"/>
      <c r="I37" s="20"/>
      <c r="J37" s="20"/>
      <c r="K37" s="19"/>
      <c r="L37" s="19"/>
      <c r="M37" s="19"/>
      <c r="N37" s="19"/>
      <c r="O37" s="19">
        <v>110000</v>
      </c>
      <c r="P37" s="19"/>
      <c r="Q37" s="19"/>
      <c r="R37" s="21"/>
    </row>
    <row r="38" spans="1:19" x14ac:dyDescent="0.25">
      <c r="A38" s="35" t="s">
        <v>166</v>
      </c>
      <c r="B38" s="36">
        <f t="shared" ref="B38:M38" si="16">+B32-B33-B34</f>
        <v>77827.179999999818</v>
      </c>
      <c r="C38" s="36">
        <f t="shared" si="16"/>
        <v>104592.51999999996</v>
      </c>
      <c r="D38" s="36">
        <f t="shared" si="16"/>
        <v>269910.30999999994</v>
      </c>
      <c r="E38" s="36">
        <f t="shared" si="16"/>
        <v>5736.0300000000279</v>
      </c>
      <c r="F38" s="36">
        <f t="shared" si="16"/>
        <v>337633.41000000003</v>
      </c>
      <c r="G38" s="36">
        <f t="shared" si="16"/>
        <v>175152.52000000002</v>
      </c>
      <c r="H38" s="36">
        <f t="shared" si="16"/>
        <v>42148.240000000034</v>
      </c>
      <c r="I38" s="36">
        <f t="shared" si="16"/>
        <v>175031.19000000012</v>
      </c>
      <c r="J38" s="36">
        <f t="shared" si="16"/>
        <v>173942.67999999993</v>
      </c>
      <c r="K38" s="36">
        <f t="shared" si="16"/>
        <v>102492.04999999987</v>
      </c>
      <c r="L38" s="36">
        <f t="shared" si="16"/>
        <v>-7151.7200000000885</v>
      </c>
      <c r="M38" s="36">
        <f t="shared" si="16"/>
        <v>-35700.749999999971</v>
      </c>
      <c r="N38" s="36">
        <f>+N32-N33-N34</f>
        <v>-4765960.8900000006</v>
      </c>
      <c r="O38" s="36">
        <f>+O32-O33-O34</f>
        <v>-1957999.4500000007</v>
      </c>
      <c r="P38" s="36">
        <f>+P32-P33-P34</f>
        <v>-1462526.8800000004</v>
      </c>
      <c r="Q38" s="36">
        <f>+N38-P38</f>
        <v>-3303434.0100000002</v>
      </c>
      <c r="R38" s="32">
        <v>0</v>
      </c>
    </row>
    <row r="39" spans="1:19" x14ac:dyDescent="0.25">
      <c r="A39" s="107" t="s">
        <v>43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>SUM(B39:M39)</f>
        <v>0</v>
      </c>
      <c r="O39" s="19">
        <f>SUM(C39:N39)</f>
        <v>0</v>
      </c>
      <c r="P39" s="19">
        <f>SUM(D39:O39)</f>
        <v>0</v>
      </c>
      <c r="Q39" s="19">
        <f>SUM(E39:P39)</f>
        <v>0</v>
      </c>
      <c r="R39" s="21">
        <v>0</v>
      </c>
    </row>
    <row r="40" spans="1:19" x14ac:dyDescent="0.25">
      <c r="A40" s="37" t="s">
        <v>44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1"/>
    </row>
    <row r="41" spans="1:19" x14ac:dyDescent="0.25">
      <c r="A41" s="24" t="s">
        <v>45</v>
      </c>
      <c r="B41" s="20">
        <f>SUM(B42:B44)</f>
        <v>0</v>
      </c>
      <c r="C41" s="20">
        <f>SUM(C42:C44)</f>
        <v>0</v>
      </c>
      <c r="D41" s="20">
        <v>0</v>
      </c>
      <c r="E41" s="20">
        <f t="shared" ref="E41:L41" si="17">SUM(E42:E44)</f>
        <v>0</v>
      </c>
      <c r="F41" s="20">
        <f t="shared" si="17"/>
        <v>0</v>
      </c>
      <c r="G41" s="20">
        <f t="shared" si="17"/>
        <v>0</v>
      </c>
      <c r="H41" s="20">
        <f t="shared" si="17"/>
        <v>0</v>
      </c>
      <c r="I41" s="20">
        <f t="shared" si="17"/>
        <v>0</v>
      </c>
      <c r="J41" s="20">
        <f t="shared" si="17"/>
        <v>0</v>
      </c>
      <c r="K41" s="19">
        <f t="shared" si="17"/>
        <v>0</v>
      </c>
      <c r="L41" s="19">
        <f t="shared" si="17"/>
        <v>2258125.92</v>
      </c>
      <c r="M41" s="19">
        <v>2394979.33</v>
      </c>
      <c r="N41" s="20"/>
      <c r="O41" s="20"/>
      <c r="P41" s="19"/>
      <c r="Q41" s="19"/>
      <c r="R41" s="21"/>
    </row>
    <row r="42" spans="1:19" x14ac:dyDescent="0.25">
      <c r="A42" s="105" t="s">
        <v>46</v>
      </c>
      <c r="B42" s="19"/>
      <c r="C42" s="19"/>
      <c r="D42" s="19">
        <v>0</v>
      </c>
      <c r="E42" s="19"/>
      <c r="F42" s="19"/>
      <c r="G42" s="19"/>
      <c r="H42" s="20"/>
      <c r="I42" s="20"/>
      <c r="J42" s="20"/>
      <c r="K42" s="19"/>
      <c r="L42" s="19">
        <v>2258125.92</v>
      </c>
      <c r="M42" s="19">
        <v>2394979.33</v>
      </c>
      <c r="N42" s="19"/>
      <c r="O42" s="19"/>
      <c r="P42" s="19"/>
      <c r="Q42" s="19"/>
      <c r="R42" s="21"/>
    </row>
    <row r="43" spans="1:19" x14ac:dyDescent="0.25">
      <c r="A43" s="105" t="s">
        <v>47</v>
      </c>
      <c r="B43" s="19"/>
      <c r="C43" s="19"/>
      <c r="D43" s="19">
        <v>0</v>
      </c>
      <c r="E43" s="19"/>
      <c r="F43" s="19"/>
      <c r="G43" s="19"/>
      <c r="H43" s="20"/>
      <c r="I43" s="20"/>
      <c r="J43" s="20"/>
      <c r="K43" s="19"/>
      <c r="L43" s="19"/>
      <c r="M43" s="19">
        <v>0</v>
      </c>
      <c r="N43" s="19"/>
      <c r="O43" s="19"/>
      <c r="P43" s="19"/>
      <c r="Q43" s="19"/>
      <c r="R43" s="21"/>
    </row>
    <row r="44" spans="1:19" x14ac:dyDescent="0.25">
      <c r="A44" s="105" t="s">
        <v>48</v>
      </c>
      <c r="B44" s="19"/>
      <c r="C44" s="19"/>
      <c r="D44" s="19"/>
      <c r="E44" s="19"/>
      <c r="F44" s="19"/>
      <c r="G44" s="19"/>
      <c r="H44" s="20"/>
      <c r="I44" s="20"/>
      <c r="J44" s="20"/>
      <c r="K44" s="19"/>
      <c r="L44" s="19"/>
      <c r="M44" s="19">
        <v>0</v>
      </c>
      <c r="N44" s="19"/>
      <c r="O44" s="19"/>
      <c r="P44" s="19"/>
      <c r="Q44" s="19"/>
      <c r="R44" s="21"/>
    </row>
    <row r="45" spans="1:19" x14ac:dyDescent="0.25">
      <c r="A45" s="107" t="s">
        <v>49</v>
      </c>
      <c r="B45" s="19"/>
      <c r="C45" s="19"/>
      <c r="D45" s="19"/>
      <c r="E45" s="19"/>
      <c r="F45" s="19"/>
      <c r="G45" s="19"/>
      <c r="H45" s="20"/>
      <c r="I45" s="20"/>
      <c r="J45" s="20"/>
      <c r="K45" s="19"/>
      <c r="L45" s="19">
        <v>5219627.07</v>
      </c>
      <c r="M45" s="19">
        <v>5374820.4299999997</v>
      </c>
      <c r="N45" s="19"/>
      <c r="O45" s="19"/>
      <c r="P45" s="19"/>
      <c r="Q45" s="19"/>
      <c r="R45" s="21"/>
    </row>
    <row r="46" spans="1:19" x14ac:dyDescent="0.25">
      <c r="A46" s="107" t="s">
        <v>50</v>
      </c>
      <c r="B46" s="19"/>
      <c r="C46" s="19"/>
      <c r="D46" s="19"/>
      <c r="E46" s="19"/>
      <c r="F46" s="19"/>
      <c r="G46" s="19"/>
      <c r="H46" s="20"/>
      <c r="I46" s="20"/>
      <c r="J46" s="20"/>
      <c r="K46" s="19"/>
      <c r="L46" s="19">
        <v>42295106.969999999</v>
      </c>
      <c r="M46" s="19">
        <v>42450300.329999998</v>
      </c>
      <c r="N46" s="19"/>
      <c r="O46" s="19"/>
      <c r="P46" s="19"/>
      <c r="Q46" s="19"/>
      <c r="R46" s="21"/>
    </row>
    <row r="47" spans="1:19" x14ac:dyDescent="0.25">
      <c r="A47" s="107" t="s">
        <v>51</v>
      </c>
      <c r="B47" s="19"/>
      <c r="C47" s="19"/>
      <c r="D47" s="19"/>
      <c r="E47" s="19"/>
      <c r="F47" s="19"/>
      <c r="G47" s="19"/>
      <c r="H47" s="20"/>
      <c r="I47" s="20"/>
      <c r="J47" s="20"/>
      <c r="K47" s="19"/>
      <c r="L47" s="19">
        <v>1537192.32</v>
      </c>
      <c r="M47" s="19">
        <v>1613959.9</v>
      </c>
      <c r="N47" s="19"/>
      <c r="O47" s="19"/>
      <c r="P47" s="19"/>
      <c r="Q47" s="19"/>
      <c r="R47" s="21"/>
    </row>
    <row r="48" spans="1:19" x14ac:dyDescent="0.25">
      <c r="A48" s="107" t="s">
        <v>52</v>
      </c>
      <c r="B48" s="19"/>
      <c r="C48" s="19"/>
      <c r="D48" s="19"/>
      <c r="E48" s="19"/>
      <c r="F48" s="19"/>
      <c r="G48" s="19"/>
      <c r="H48" s="20"/>
      <c r="I48" s="20"/>
      <c r="J48" s="20"/>
      <c r="K48" s="19"/>
      <c r="L48" s="19">
        <v>1537192.32</v>
      </c>
      <c r="M48" s="19">
        <v>1613959.9</v>
      </c>
      <c r="N48" s="19"/>
      <c r="O48" s="19"/>
      <c r="P48" s="19"/>
      <c r="Q48" s="19"/>
      <c r="R48" s="21"/>
    </row>
    <row r="49" spans="1:19" x14ac:dyDescent="0.25">
      <c r="A49" s="107" t="s">
        <v>169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>
        <v>0</v>
      </c>
      <c r="N49" s="19"/>
      <c r="O49" s="19"/>
      <c r="P49" s="19"/>
      <c r="Q49" s="19"/>
      <c r="R49" s="21"/>
    </row>
    <row r="50" spans="1:19" x14ac:dyDescent="0.2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19"/>
      <c r="L50" s="39"/>
      <c r="M50" s="39"/>
      <c r="N50" s="39"/>
      <c r="O50" s="39"/>
      <c r="P50" s="39"/>
      <c r="Q50" s="39"/>
      <c r="R50" s="21"/>
    </row>
    <row r="51" spans="1:19" ht="15.75" x14ac:dyDescent="0.25">
      <c r="A51" s="40" t="s">
        <v>53</v>
      </c>
      <c r="B51" s="41">
        <f>+B52+B53+B54</f>
        <v>49224</v>
      </c>
      <c r="C51" s="41">
        <f>+C52+C53+C54</f>
        <v>48369</v>
      </c>
      <c r="D51" s="41">
        <f>SUM(D52:D54)</f>
        <v>48399</v>
      </c>
      <c r="E51" s="41">
        <f>SUM(E52:E54)</f>
        <v>50356</v>
      </c>
      <c r="F51" s="41">
        <f>SUM(F52:F54)</f>
        <v>54142</v>
      </c>
      <c r="G51" s="41">
        <f>SUM(G52:G54)</f>
        <v>57254</v>
      </c>
      <c r="H51" s="41">
        <f>SUM(H52:H55)</f>
        <v>52206</v>
      </c>
      <c r="I51" s="41">
        <f>+I52+I53+I54</f>
        <v>52217</v>
      </c>
      <c r="J51" s="41">
        <f>+J52+J53+J54</f>
        <v>48790</v>
      </c>
      <c r="K51" s="41">
        <f>+K52+K53+K54</f>
        <v>48790</v>
      </c>
      <c r="L51" s="41">
        <f>+L52+L53+L54</f>
        <v>48836</v>
      </c>
      <c r="M51" s="41">
        <f>+M52+M53+M54</f>
        <v>20410</v>
      </c>
      <c r="N51" s="41">
        <f>SUM(I51:M51)</f>
        <v>219043</v>
      </c>
      <c r="O51" s="41"/>
      <c r="P51" s="41"/>
      <c r="Q51" s="41"/>
      <c r="R51" s="41"/>
      <c r="S51" s="118">
        <v>9</v>
      </c>
    </row>
    <row r="52" spans="1:19" x14ac:dyDescent="0.25">
      <c r="A52" s="107" t="s">
        <v>54</v>
      </c>
      <c r="B52" s="42">
        <f>23365+6135+17887+1837</f>
        <v>49224</v>
      </c>
      <c r="C52" s="42">
        <f>6909+14016+3146+24298</f>
        <v>48369</v>
      </c>
      <c r="D52" s="42">
        <f>24298+30+6909+14016+3146</f>
        <v>48399</v>
      </c>
      <c r="E52" s="42">
        <f>19973+7455+20991+1937</f>
        <v>50356</v>
      </c>
      <c r="F52" s="42">
        <f>9107+22609+2470+19956</f>
        <v>54142</v>
      </c>
      <c r="G52" s="42">
        <f>24767+32487</f>
        <v>57254</v>
      </c>
      <c r="H52" s="43">
        <f>9191+20328+2156+20531</f>
        <v>52206</v>
      </c>
      <c r="I52" s="43">
        <f>22515+7555+20032+2115</f>
        <v>52217</v>
      </c>
      <c r="J52" s="43">
        <f>19555+8075+19739+1421</f>
        <v>48790</v>
      </c>
      <c r="K52" s="19">
        <f>8075+19739+1421+19555</f>
        <v>48790</v>
      </c>
      <c r="L52" s="42">
        <f>7684+17375+3207+20570</f>
        <v>48836</v>
      </c>
      <c r="M52" s="42">
        <v>20410</v>
      </c>
      <c r="N52" s="42"/>
      <c r="O52" s="42"/>
      <c r="P52" s="42"/>
      <c r="Q52" s="42"/>
      <c r="R52" s="42"/>
    </row>
    <row r="53" spans="1:19" ht="15" customHeight="1" x14ac:dyDescent="0.25">
      <c r="A53" s="107" t="s">
        <v>55</v>
      </c>
      <c r="B53" s="42"/>
      <c r="C53" s="42"/>
      <c r="D53" s="42"/>
      <c r="E53" s="42"/>
      <c r="F53" s="42"/>
      <c r="G53" s="42"/>
      <c r="H53" s="43"/>
      <c r="I53" s="43"/>
      <c r="J53" s="43"/>
      <c r="K53" s="19"/>
      <c r="L53" s="42"/>
      <c r="M53" s="42"/>
      <c r="N53" s="42"/>
      <c r="O53" s="42"/>
      <c r="P53" s="42"/>
      <c r="Q53" s="42"/>
      <c r="R53" s="42"/>
    </row>
    <row r="54" spans="1:19" ht="15" customHeight="1" x14ac:dyDescent="0.25">
      <c r="A54" s="107" t="s">
        <v>56</v>
      </c>
      <c r="B54" s="42"/>
      <c r="C54" s="42"/>
      <c r="D54" s="42"/>
      <c r="E54" s="42"/>
      <c r="F54" s="42"/>
      <c r="G54" s="42"/>
      <c r="H54" s="43"/>
      <c r="I54" s="43"/>
      <c r="J54" s="43"/>
      <c r="K54" s="19"/>
      <c r="L54" s="42"/>
      <c r="M54" s="42"/>
      <c r="N54" s="42"/>
      <c r="O54" s="42"/>
      <c r="P54" s="42"/>
      <c r="Q54" s="42"/>
      <c r="R54" s="42"/>
    </row>
    <row r="55" spans="1:19" ht="15" customHeight="1" x14ac:dyDescent="0.25">
      <c r="A55" s="24"/>
      <c r="B55" s="42"/>
      <c r="C55" s="42"/>
      <c r="D55" s="42"/>
      <c r="E55" s="42"/>
      <c r="F55" s="42"/>
      <c r="G55" s="42"/>
      <c r="H55" s="43"/>
      <c r="I55" s="43"/>
      <c r="J55" s="43"/>
      <c r="K55" s="19"/>
      <c r="L55" s="42"/>
      <c r="M55" s="42"/>
      <c r="N55" s="42"/>
      <c r="O55" s="42"/>
      <c r="P55" s="42"/>
      <c r="Q55" s="42"/>
      <c r="R55" s="42"/>
    </row>
    <row r="56" spans="1:19" ht="15.75" x14ac:dyDescent="0.25">
      <c r="A56" s="44" t="s">
        <v>57</v>
      </c>
      <c r="B56" s="41">
        <f>+B57+B58+B59</f>
        <v>132809</v>
      </c>
      <c r="C56" s="41">
        <f>+C57+C58+C59</f>
        <v>130973</v>
      </c>
      <c r="D56" s="41">
        <f>+D57+D58+D59</f>
        <v>130973</v>
      </c>
      <c r="E56" s="41">
        <f>+E57+E58+E59</f>
        <v>139865</v>
      </c>
      <c r="F56" s="41">
        <f t="shared" ref="F56:M56" si="18">+F57+F58+F59</f>
        <v>146847</v>
      </c>
      <c r="G56" s="41">
        <f t="shared" si="18"/>
        <v>151722</v>
      </c>
      <c r="H56" s="41">
        <f t="shared" si="18"/>
        <v>95152</v>
      </c>
      <c r="I56" s="41">
        <f t="shared" si="18"/>
        <v>146577</v>
      </c>
      <c r="J56" s="41">
        <f t="shared" si="18"/>
        <v>139549</v>
      </c>
      <c r="K56" s="41">
        <f t="shared" si="18"/>
        <v>139549</v>
      </c>
      <c r="L56" s="41">
        <f t="shared" si="18"/>
        <v>140532</v>
      </c>
      <c r="M56" s="41">
        <f t="shared" si="18"/>
        <v>172359.11</v>
      </c>
      <c r="N56" s="41">
        <f>SUM(B56:M56)</f>
        <v>1666907.1099999999</v>
      </c>
      <c r="O56" s="41"/>
      <c r="P56" s="41"/>
      <c r="Q56" s="41"/>
      <c r="R56" s="41"/>
      <c r="S56" s="118">
        <v>8</v>
      </c>
    </row>
    <row r="57" spans="1:19" x14ac:dyDescent="0.25">
      <c r="A57" s="107" t="s">
        <v>54</v>
      </c>
      <c r="B57" s="42">
        <f>72073+60736</f>
        <v>132809</v>
      </c>
      <c r="C57" s="42">
        <f>60091+70882</f>
        <v>130973</v>
      </c>
      <c r="D57" s="42">
        <f>70882+60091</f>
        <v>130973</v>
      </c>
      <c r="E57" s="119">
        <f>51493+88372</f>
        <v>139865</v>
      </c>
      <c r="F57" s="42">
        <f>50894+95953</f>
        <v>146847</v>
      </c>
      <c r="G57" s="42">
        <v>151722</v>
      </c>
      <c r="H57" s="43">
        <f>89835+5317</f>
        <v>95152</v>
      </c>
      <c r="I57" s="43">
        <f>59701+86876</f>
        <v>146577</v>
      </c>
      <c r="J57" s="43">
        <f>86441+53108</f>
        <v>139549</v>
      </c>
      <c r="K57" s="19">
        <f>86441+53108</f>
        <v>139549</v>
      </c>
      <c r="L57" s="42">
        <f>56268+84264</f>
        <v>140532</v>
      </c>
      <c r="M57" s="42">
        <v>172359.11</v>
      </c>
      <c r="N57" s="42"/>
      <c r="O57" s="42"/>
      <c r="P57" s="42"/>
      <c r="Q57" s="42"/>
      <c r="R57" s="42"/>
    </row>
    <row r="58" spans="1:19" x14ac:dyDescent="0.25">
      <c r="A58" s="107" t="s">
        <v>55</v>
      </c>
      <c r="B58" s="42"/>
      <c r="C58" s="42"/>
      <c r="D58" s="42"/>
      <c r="E58" s="119"/>
      <c r="F58" s="42"/>
      <c r="G58" s="42"/>
      <c r="H58" s="43"/>
      <c r="I58" s="43"/>
      <c r="J58" s="43"/>
      <c r="K58" s="19"/>
      <c r="L58" s="42"/>
      <c r="M58" s="42"/>
      <c r="N58" s="42"/>
      <c r="O58" s="42"/>
      <c r="P58" s="42"/>
      <c r="Q58" s="42"/>
      <c r="R58" s="42"/>
    </row>
    <row r="59" spans="1:19" x14ac:dyDescent="0.25">
      <c r="A59" s="107" t="s">
        <v>56</v>
      </c>
      <c r="B59" s="42"/>
      <c r="C59" s="42"/>
      <c r="D59" s="42"/>
      <c r="E59" s="119"/>
      <c r="F59" s="42"/>
      <c r="G59" s="42"/>
      <c r="H59" s="43"/>
      <c r="I59" s="43"/>
      <c r="J59" s="43"/>
      <c r="K59" s="19"/>
      <c r="L59" s="42"/>
      <c r="M59" s="42"/>
      <c r="N59" s="42"/>
      <c r="O59" s="42"/>
      <c r="P59" s="42"/>
      <c r="Q59" s="42"/>
      <c r="R59" s="42"/>
    </row>
    <row r="60" spans="1:19" x14ac:dyDescent="0.25">
      <c r="A60" s="45"/>
      <c r="B60" s="42"/>
      <c r="C60" s="42"/>
      <c r="D60" s="42"/>
      <c r="E60" s="119"/>
      <c r="F60" s="42"/>
      <c r="G60" s="42"/>
      <c r="H60" s="43"/>
      <c r="I60" s="43"/>
      <c r="J60" s="43"/>
      <c r="K60" s="19"/>
      <c r="L60" s="42"/>
      <c r="M60" s="42"/>
      <c r="N60" s="42"/>
      <c r="O60" s="42"/>
      <c r="P60" s="42"/>
      <c r="Q60" s="42"/>
      <c r="R60" s="42"/>
    </row>
    <row r="61" spans="1:19" x14ac:dyDescent="0.25">
      <c r="A61" s="109" t="s">
        <v>58</v>
      </c>
      <c r="B61" s="47"/>
      <c r="C61" s="47"/>
      <c r="D61" s="47"/>
      <c r="E61" s="47"/>
      <c r="F61" s="47"/>
      <c r="G61" s="47"/>
      <c r="H61" s="47"/>
      <c r="I61" s="47"/>
      <c r="J61" s="47"/>
      <c r="K61" s="48"/>
      <c r="L61" s="47"/>
      <c r="M61" s="47"/>
      <c r="N61" s="47"/>
      <c r="O61" s="47"/>
      <c r="P61" s="47"/>
      <c r="Q61" s="47"/>
      <c r="R61" s="47"/>
    </row>
    <row r="62" spans="1:19" x14ac:dyDescent="0.25">
      <c r="A62" s="109" t="s">
        <v>59</v>
      </c>
      <c r="B62" s="47"/>
      <c r="C62" s="47"/>
      <c r="D62" s="47"/>
      <c r="E62" s="47"/>
      <c r="F62" s="47"/>
      <c r="G62" s="47"/>
      <c r="H62" s="47"/>
      <c r="I62" s="47"/>
      <c r="J62" s="47"/>
      <c r="K62" s="19"/>
      <c r="L62" s="47"/>
      <c r="M62" s="47"/>
      <c r="N62" s="47"/>
      <c r="O62" s="47"/>
      <c r="P62" s="47"/>
      <c r="Q62" s="47"/>
      <c r="R62" s="47"/>
    </row>
    <row r="63" spans="1:19" x14ac:dyDescent="0.25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19"/>
      <c r="L63" s="47"/>
      <c r="M63" s="47"/>
      <c r="N63" s="47"/>
      <c r="O63" s="47"/>
      <c r="P63" s="47"/>
      <c r="Q63" s="47"/>
      <c r="R63" s="47"/>
    </row>
    <row r="64" spans="1:19" x14ac:dyDescent="0.25">
      <c r="A64" s="37" t="s">
        <v>60</v>
      </c>
      <c r="B64" s="42"/>
      <c r="C64" s="42"/>
      <c r="D64" s="42"/>
      <c r="E64" s="42"/>
      <c r="F64" s="42"/>
      <c r="G64" s="42"/>
      <c r="H64" s="42"/>
      <c r="I64" s="42"/>
      <c r="J64" s="42"/>
      <c r="K64" s="19"/>
      <c r="L64" s="42"/>
      <c r="M64" s="42"/>
      <c r="N64" s="42"/>
      <c r="O64" s="42"/>
      <c r="P64" s="42"/>
      <c r="Q64" s="42"/>
      <c r="R64" s="42"/>
    </row>
    <row r="65" spans="1:19" ht="17.25" x14ac:dyDescent="0.25">
      <c r="A65" s="44" t="s">
        <v>61</v>
      </c>
      <c r="B65" s="49">
        <f>+B66+B69</f>
        <v>93767</v>
      </c>
      <c r="C65" s="49">
        <f>+C66+C69</f>
        <v>87385</v>
      </c>
      <c r="D65" s="49">
        <f>+D66+D69</f>
        <v>145444</v>
      </c>
      <c r="E65" s="49">
        <f t="shared" ref="E65:M65" si="19">+E66+E69</f>
        <v>85577</v>
      </c>
      <c r="F65" s="49">
        <f t="shared" si="19"/>
        <v>96588</v>
      </c>
      <c r="G65" s="49">
        <f t="shared" si="19"/>
        <v>91584</v>
      </c>
      <c r="H65" s="49">
        <f t="shared" si="19"/>
        <v>89239</v>
      </c>
      <c r="I65" s="49">
        <f t="shared" si="19"/>
        <v>82954</v>
      </c>
      <c r="J65" s="49">
        <f t="shared" si="19"/>
        <v>84503</v>
      </c>
      <c r="K65" s="49">
        <f t="shared" si="19"/>
        <v>82497</v>
      </c>
      <c r="L65" s="49">
        <f t="shared" si="19"/>
        <v>79366</v>
      </c>
      <c r="M65" s="49">
        <f t="shared" si="19"/>
        <v>79737</v>
      </c>
      <c r="N65" s="41">
        <f>SUM(B65:M65)</f>
        <v>1098641</v>
      </c>
      <c r="O65" s="41"/>
      <c r="P65" s="41"/>
      <c r="Q65" s="41"/>
      <c r="R65" s="41"/>
      <c r="S65" s="118">
        <v>1</v>
      </c>
    </row>
    <row r="66" spans="1:19" x14ac:dyDescent="0.25">
      <c r="A66" s="107" t="s">
        <v>62</v>
      </c>
      <c r="B66" s="42">
        <f>70617+23150</f>
        <v>93767</v>
      </c>
      <c r="C66" s="42">
        <v>87385</v>
      </c>
      <c r="D66" s="50">
        <v>145444</v>
      </c>
      <c r="E66" s="50">
        <f>83240+2337</f>
        <v>85577</v>
      </c>
      <c r="F66" s="50">
        <v>96588</v>
      </c>
      <c r="G66" s="42">
        <v>91584</v>
      </c>
      <c r="H66" s="42">
        <v>89239</v>
      </c>
      <c r="I66" s="42">
        <f>80809+2145</f>
        <v>82954</v>
      </c>
      <c r="J66" s="50">
        <f>82375+2128</f>
        <v>84503</v>
      </c>
      <c r="K66" s="51">
        <f>80246+2251</f>
        <v>82497</v>
      </c>
      <c r="L66" s="42">
        <f>2176+77190</f>
        <v>79366</v>
      </c>
      <c r="M66" s="42">
        <v>79737</v>
      </c>
      <c r="N66" s="42"/>
      <c r="O66" s="42"/>
      <c r="P66" s="42"/>
      <c r="Q66" s="42"/>
      <c r="R66" s="42"/>
    </row>
    <row r="67" spans="1:19" x14ac:dyDescent="0.25">
      <c r="A67" s="107" t="s">
        <v>63</v>
      </c>
      <c r="B67" s="42"/>
      <c r="C67" s="42"/>
      <c r="D67" s="50"/>
      <c r="E67" s="42"/>
      <c r="F67" s="42"/>
      <c r="G67" s="42"/>
      <c r="H67" s="42"/>
      <c r="I67" s="42"/>
      <c r="J67" s="50"/>
      <c r="K67" s="19"/>
      <c r="L67" s="42"/>
      <c r="M67" s="42">
        <v>0</v>
      </c>
      <c r="N67" s="42"/>
      <c r="O67" s="42"/>
      <c r="P67" s="42"/>
      <c r="Q67" s="42"/>
      <c r="R67" s="42"/>
    </row>
    <row r="68" spans="1:19" x14ac:dyDescent="0.25">
      <c r="A68" s="107" t="s">
        <v>64</v>
      </c>
      <c r="B68" s="42"/>
      <c r="C68" s="42"/>
      <c r="D68" s="50"/>
      <c r="E68" s="47"/>
      <c r="F68" s="47"/>
      <c r="G68" s="47"/>
      <c r="H68" s="47"/>
      <c r="I68" s="42"/>
      <c r="J68" s="50"/>
      <c r="K68" s="19"/>
      <c r="L68" s="42"/>
      <c r="M68" s="42">
        <v>0</v>
      </c>
      <c r="N68" s="42"/>
      <c r="O68" s="42"/>
      <c r="P68" s="42"/>
      <c r="Q68" s="42"/>
      <c r="R68" s="42"/>
    </row>
    <row r="69" spans="1:19" x14ac:dyDescent="0.25">
      <c r="A69" s="110" t="s">
        <v>65</v>
      </c>
      <c r="B69" s="42"/>
      <c r="C69" s="42"/>
      <c r="D69" s="50"/>
      <c r="E69" s="50"/>
      <c r="F69" s="50"/>
      <c r="G69" s="50"/>
      <c r="H69" s="50"/>
      <c r="I69" s="42"/>
      <c r="J69" s="50"/>
      <c r="K69" s="51"/>
      <c r="L69" s="42"/>
      <c r="M69" s="42">
        <v>0</v>
      </c>
      <c r="N69" s="42"/>
      <c r="O69" s="42"/>
      <c r="P69" s="42"/>
      <c r="Q69" s="42"/>
      <c r="R69" s="42"/>
    </row>
    <row r="70" spans="1:19" x14ac:dyDescent="0.25">
      <c r="A70" s="52"/>
      <c r="B70" s="53"/>
      <c r="C70" s="53"/>
      <c r="D70" s="47"/>
      <c r="E70" s="47"/>
      <c r="F70" s="53"/>
      <c r="G70" s="47"/>
      <c r="H70" s="47"/>
      <c r="I70" s="53"/>
      <c r="J70" s="47"/>
      <c r="K70" s="19"/>
      <c r="L70" s="53"/>
      <c r="M70" s="53"/>
      <c r="N70" s="53"/>
      <c r="O70" s="53"/>
      <c r="P70" s="53"/>
      <c r="Q70" s="53"/>
      <c r="R70" s="53"/>
    </row>
    <row r="71" spans="1:19" ht="15.75" x14ac:dyDescent="0.25">
      <c r="A71" s="54" t="s">
        <v>66</v>
      </c>
      <c r="B71" s="30">
        <f>+B72+B73+B74+B75+B76</f>
        <v>30353</v>
      </c>
      <c r="C71" s="30">
        <f>SUM(C72:C76)</f>
        <v>40910</v>
      </c>
      <c r="D71" s="30">
        <f>SUM(D72:D76)</f>
        <v>42750</v>
      </c>
      <c r="E71" s="30">
        <f t="shared" ref="E71:M71" si="20">SUM(E72:E76)</f>
        <v>44475</v>
      </c>
      <c r="F71" s="30">
        <f t="shared" si="20"/>
        <v>49028</v>
      </c>
      <c r="G71" s="30">
        <f t="shared" si="20"/>
        <v>38132</v>
      </c>
      <c r="H71" s="30">
        <f t="shared" si="20"/>
        <v>37984</v>
      </c>
      <c r="I71" s="30">
        <f t="shared" si="20"/>
        <v>35141</v>
      </c>
      <c r="J71" s="30">
        <f t="shared" si="20"/>
        <v>35617</v>
      </c>
      <c r="K71" s="30">
        <f t="shared" si="20"/>
        <v>35500</v>
      </c>
      <c r="L71" s="30">
        <f t="shared" si="20"/>
        <v>31290</v>
      </c>
      <c r="M71" s="30">
        <f t="shared" si="20"/>
        <v>21095</v>
      </c>
      <c r="N71" s="30">
        <f>SUM(N72:N76)</f>
        <v>442275</v>
      </c>
      <c r="O71" s="30"/>
      <c r="P71" s="30"/>
      <c r="Q71" s="30"/>
      <c r="R71" s="30"/>
      <c r="S71" s="118">
        <v>2</v>
      </c>
    </row>
    <row r="72" spans="1:19" x14ac:dyDescent="0.25">
      <c r="A72" s="107" t="s">
        <v>67</v>
      </c>
      <c r="B72" s="42">
        <v>29191</v>
      </c>
      <c r="C72" s="42">
        <v>38768</v>
      </c>
      <c r="D72" s="55">
        <v>41218</v>
      </c>
      <c r="E72" s="42">
        <v>42527</v>
      </c>
      <c r="F72" s="42">
        <v>46445</v>
      </c>
      <c r="G72" s="42">
        <v>35779</v>
      </c>
      <c r="H72" s="42">
        <v>36490</v>
      </c>
      <c r="I72" s="42">
        <v>33152</v>
      </c>
      <c r="J72" s="42">
        <v>33853</v>
      </c>
      <c r="K72" s="19">
        <v>33326</v>
      </c>
      <c r="L72" s="42">
        <v>29207</v>
      </c>
      <c r="M72" s="42">
        <v>19693</v>
      </c>
      <c r="N72" s="42">
        <f>SUM(B72:M72)</f>
        <v>419649</v>
      </c>
      <c r="O72" s="42"/>
      <c r="P72" s="42"/>
      <c r="Q72" s="42"/>
      <c r="R72" s="42"/>
    </row>
    <row r="73" spans="1:19" x14ac:dyDescent="0.25">
      <c r="A73" s="107" t="s">
        <v>68</v>
      </c>
      <c r="B73" s="42">
        <v>535</v>
      </c>
      <c r="C73" s="42">
        <v>892</v>
      </c>
      <c r="D73" s="55">
        <v>587</v>
      </c>
      <c r="E73" s="42">
        <v>707</v>
      </c>
      <c r="F73" s="42">
        <v>841</v>
      </c>
      <c r="G73" s="42">
        <v>926</v>
      </c>
      <c r="H73" s="42">
        <v>801</v>
      </c>
      <c r="I73" s="42">
        <v>970</v>
      </c>
      <c r="J73" s="42">
        <v>903</v>
      </c>
      <c r="K73" s="19">
        <v>893</v>
      </c>
      <c r="L73" s="42">
        <v>767</v>
      </c>
      <c r="M73" s="42">
        <v>636</v>
      </c>
      <c r="N73" s="42">
        <f>SUM(B73:M73)</f>
        <v>9458</v>
      </c>
      <c r="O73" s="42"/>
      <c r="P73" s="42"/>
      <c r="Q73" s="42"/>
      <c r="R73" s="42"/>
    </row>
    <row r="74" spans="1:19" x14ac:dyDescent="0.25">
      <c r="A74" s="107" t="s">
        <v>69</v>
      </c>
      <c r="B74" s="129"/>
      <c r="C74" s="129"/>
      <c r="D74" s="130"/>
      <c r="E74" s="129"/>
      <c r="F74" s="129"/>
      <c r="G74" s="129"/>
      <c r="H74" s="129"/>
      <c r="I74" s="129"/>
      <c r="J74" s="129"/>
      <c r="K74" s="131"/>
      <c r="L74" s="129"/>
      <c r="M74" s="129"/>
      <c r="N74" s="42">
        <f>SUM(B74:M74)</f>
        <v>0</v>
      </c>
      <c r="O74" s="42"/>
      <c r="P74" s="42"/>
      <c r="Q74" s="42"/>
      <c r="R74" s="42"/>
    </row>
    <row r="75" spans="1:19" x14ac:dyDescent="0.25">
      <c r="A75" s="107" t="s">
        <v>70</v>
      </c>
      <c r="B75" s="42">
        <v>381</v>
      </c>
      <c r="C75" s="42">
        <v>505</v>
      </c>
      <c r="D75" s="55">
        <v>579</v>
      </c>
      <c r="E75" s="42">
        <v>675</v>
      </c>
      <c r="F75" s="42">
        <v>922</v>
      </c>
      <c r="G75" s="42">
        <v>557</v>
      </c>
      <c r="H75" s="42">
        <v>230</v>
      </c>
      <c r="I75" s="42">
        <v>515</v>
      </c>
      <c r="J75" s="42">
        <v>616</v>
      </c>
      <c r="K75" s="19">
        <v>826</v>
      </c>
      <c r="L75" s="42">
        <v>641</v>
      </c>
      <c r="M75" s="42">
        <v>565</v>
      </c>
      <c r="N75" s="42">
        <f>SUM(B75:M75)</f>
        <v>7012</v>
      </c>
      <c r="O75" s="42"/>
      <c r="P75" s="42"/>
      <c r="Q75" s="42"/>
      <c r="R75" s="42"/>
      <c r="S75" s="118">
        <v>22</v>
      </c>
    </row>
    <row r="76" spans="1:19" x14ac:dyDescent="0.25">
      <c r="A76" s="107" t="s">
        <v>71</v>
      </c>
      <c r="B76" s="42">
        <v>246</v>
      </c>
      <c r="C76" s="42">
        <v>745</v>
      </c>
      <c r="D76" s="55">
        <v>366</v>
      </c>
      <c r="E76" s="42">
        <v>566</v>
      </c>
      <c r="F76" s="42">
        <v>820</v>
      </c>
      <c r="G76" s="42">
        <v>870</v>
      </c>
      <c r="H76" s="42">
        <v>463</v>
      </c>
      <c r="I76" s="42">
        <v>504</v>
      </c>
      <c r="J76" s="42">
        <v>245</v>
      </c>
      <c r="K76" s="19">
        <v>455</v>
      </c>
      <c r="L76" s="42">
        <v>675</v>
      </c>
      <c r="M76" s="42">
        <v>201</v>
      </c>
      <c r="N76" s="42">
        <f>SUM(B76:M76)</f>
        <v>6156</v>
      </c>
      <c r="O76" s="42"/>
      <c r="P76" s="42"/>
      <c r="Q76" s="42"/>
      <c r="R76" s="42"/>
      <c r="S76" s="118">
        <v>22</v>
      </c>
    </row>
    <row r="77" spans="1:19" x14ac:dyDescent="0.25">
      <c r="A77" s="24"/>
      <c r="B77" s="42"/>
      <c r="C77" s="42"/>
      <c r="D77" s="42"/>
      <c r="E77" s="42"/>
      <c r="F77" s="42"/>
      <c r="G77" s="42"/>
      <c r="H77" s="42"/>
      <c r="I77" s="42"/>
      <c r="J77" s="42"/>
      <c r="K77" s="19"/>
      <c r="L77" s="42"/>
      <c r="M77" s="42"/>
      <c r="N77" s="42"/>
      <c r="O77" s="42"/>
      <c r="P77" s="42"/>
      <c r="Q77" s="42"/>
      <c r="R77" s="42"/>
    </row>
    <row r="78" spans="1:19" x14ac:dyDescent="0.25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19"/>
      <c r="L78" s="57"/>
      <c r="M78" s="57"/>
      <c r="N78" s="57"/>
      <c r="O78" s="57"/>
      <c r="P78" s="57"/>
      <c r="Q78" s="57"/>
      <c r="R78" s="57"/>
    </row>
    <row r="79" spans="1:19" ht="15.75" x14ac:dyDescent="0.25">
      <c r="A79" s="54" t="s">
        <v>72</v>
      </c>
      <c r="B79" s="30">
        <f>+B80+B81+B82+B83</f>
        <v>24728</v>
      </c>
      <c r="C79" s="30">
        <f>SUM(C80:C83)</f>
        <v>20899</v>
      </c>
      <c r="D79" s="30">
        <f>SUM(D80:D83)</f>
        <v>33490</v>
      </c>
      <c r="E79" s="30">
        <f t="shared" ref="E79:M79" si="21">SUM(E80:E83)</f>
        <v>28495</v>
      </c>
      <c r="F79" s="30">
        <f t="shared" si="21"/>
        <v>34852</v>
      </c>
      <c r="G79" s="30">
        <f t="shared" si="21"/>
        <v>28652</v>
      </c>
      <c r="H79" s="30">
        <f t="shared" si="21"/>
        <v>27224</v>
      </c>
      <c r="I79" s="30">
        <f t="shared" si="21"/>
        <v>25416</v>
      </c>
      <c r="J79" s="30">
        <f t="shared" si="21"/>
        <v>24918</v>
      </c>
      <c r="K79" s="30">
        <f t="shared" si="21"/>
        <v>26275</v>
      </c>
      <c r="L79" s="30">
        <f t="shared" si="21"/>
        <v>20894</v>
      </c>
      <c r="M79" s="30">
        <f t="shared" si="21"/>
        <v>15601</v>
      </c>
      <c r="N79" s="30">
        <f>SUM(B79:M79)</f>
        <v>311444</v>
      </c>
      <c r="O79" s="30"/>
      <c r="P79" s="30"/>
      <c r="Q79" s="30"/>
      <c r="R79" s="30"/>
    </row>
    <row r="80" spans="1:19" x14ac:dyDescent="0.25">
      <c r="A80" s="107" t="s">
        <v>73</v>
      </c>
      <c r="B80" s="42">
        <v>21421</v>
      </c>
      <c r="C80" s="42">
        <v>18621</v>
      </c>
      <c r="D80" s="42">
        <v>29090</v>
      </c>
      <c r="E80" s="42">
        <v>25263</v>
      </c>
      <c r="F80" s="42">
        <v>29745</v>
      </c>
      <c r="G80" s="42">
        <v>24236</v>
      </c>
      <c r="H80" s="42">
        <v>23835</v>
      </c>
      <c r="I80" s="42">
        <v>22873</v>
      </c>
      <c r="J80" s="42">
        <v>22168</v>
      </c>
      <c r="K80" s="19">
        <v>23120</v>
      </c>
      <c r="L80" s="42">
        <v>18759</v>
      </c>
      <c r="M80" s="42">
        <v>13029</v>
      </c>
      <c r="N80" s="42">
        <f>SUM(B80:M80)</f>
        <v>272160</v>
      </c>
      <c r="O80" s="42"/>
      <c r="P80" s="42"/>
      <c r="Q80" s="42"/>
      <c r="R80" s="42"/>
      <c r="S80" s="118">
        <v>3</v>
      </c>
    </row>
    <row r="81" spans="1:19" x14ac:dyDescent="0.25">
      <c r="A81" s="107" t="s">
        <v>74</v>
      </c>
      <c r="B81" s="42">
        <v>3307</v>
      </c>
      <c r="C81" s="42">
        <v>2278</v>
      </c>
      <c r="D81" s="42">
        <v>4400</v>
      </c>
      <c r="E81" s="42">
        <v>3232</v>
      </c>
      <c r="F81" s="42">
        <v>5107</v>
      </c>
      <c r="G81" s="42">
        <v>4416</v>
      </c>
      <c r="H81" s="42">
        <v>3389</v>
      </c>
      <c r="I81" s="42">
        <v>2543</v>
      </c>
      <c r="J81" s="42">
        <v>2750</v>
      </c>
      <c r="K81" s="19">
        <v>3155</v>
      </c>
      <c r="L81" s="42">
        <v>2135</v>
      </c>
      <c r="M81" s="42">
        <v>2572</v>
      </c>
      <c r="N81" s="42">
        <f>SUM(B81:M81)</f>
        <v>39284</v>
      </c>
      <c r="O81" s="42"/>
      <c r="P81" s="42"/>
      <c r="Q81" s="42"/>
      <c r="R81" s="42"/>
      <c r="S81" s="118">
        <v>4</v>
      </c>
    </row>
    <row r="82" spans="1:19" x14ac:dyDescent="0.25">
      <c r="A82" s="58"/>
      <c r="B82" s="59"/>
      <c r="C82" s="59"/>
      <c r="D82" s="59"/>
      <c r="E82" s="59"/>
      <c r="F82" s="59"/>
      <c r="G82" s="59"/>
      <c r="H82" s="59"/>
      <c r="I82" s="59"/>
      <c r="J82" s="59"/>
      <c r="K82" s="19"/>
      <c r="L82" s="59"/>
      <c r="M82" s="59"/>
      <c r="N82" s="59"/>
      <c r="O82" s="59"/>
      <c r="P82" s="59"/>
      <c r="Q82" s="59"/>
      <c r="R82" s="59"/>
    </row>
    <row r="83" spans="1:19" x14ac:dyDescent="0.25">
      <c r="A83" s="37" t="s">
        <v>75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9" ht="15.75" x14ac:dyDescent="0.25">
      <c r="A84" s="60" t="s">
        <v>76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9" x14ac:dyDescent="0.25">
      <c r="A85" s="123" t="s">
        <v>77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135"/>
      <c r="M85" s="135"/>
      <c r="N85" s="61"/>
      <c r="O85" s="61"/>
      <c r="P85" s="61"/>
      <c r="Q85" s="61"/>
      <c r="R85" s="61"/>
    </row>
    <row r="86" spans="1:19" x14ac:dyDescent="0.25">
      <c r="A86" s="123" t="s">
        <v>78</v>
      </c>
      <c r="B86" s="61"/>
      <c r="C86" s="61"/>
      <c r="D86" s="61">
        <v>347143.59</v>
      </c>
      <c r="E86" s="61"/>
      <c r="F86" s="61"/>
      <c r="G86" s="61"/>
      <c r="H86" s="61"/>
      <c r="I86" s="61"/>
      <c r="J86" s="61"/>
      <c r="K86" s="61"/>
      <c r="L86" s="135">
        <f>686328-648220</f>
        <v>38108</v>
      </c>
      <c r="M86" s="135">
        <f>728547.47-693921</f>
        <v>34626.469999999972</v>
      </c>
      <c r="N86" s="61"/>
      <c r="O86" s="61"/>
      <c r="P86" s="61"/>
      <c r="Q86" s="61"/>
      <c r="R86" s="61"/>
    </row>
    <row r="87" spans="1:19" x14ac:dyDescent="0.25">
      <c r="A87" s="122" t="s">
        <v>79</v>
      </c>
      <c r="B87" s="134"/>
      <c r="C87" s="134"/>
      <c r="D87" s="42"/>
      <c r="E87" s="42"/>
      <c r="F87" s="42"/>
      <c r="G87" s="42"/>
      <c r="H87" s="43"/>
      <c r="I87" s="42"/>
      <c r="J87" s="42"/>
      <c r="K87" s="19"/>
      <c r="L87" s="42"/>
      <c r="M87" s="42"/>
      <c r="N87" s="42"/>
      <c r="O87" s="42"/>
      <c r="P87" s="42"/>
      <c r="Q87" s="42"/>
      <c r="R87" s="42"/>
    </row>
    <row r="88" spans="1:19" x14ac:dyDescent="0.25">
      <c r="A88" s="122" t="s">
        <v>80</v>
      </c>
      <c r="B88" s="134">
        <v>0</v>
      </c>
      <c r="C88" s="134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19">
        <v>0</v>
      </c>
      <c r="L88" s="42">
        <v>0</v>
      </c>
      <c r="M88" s="42">
        <v>0</v>
      </c>
      <c r="N88" s="42"/>
      <c r="O88" s="42"/>
      <c r="P88" s="42"/>
      <c r="Q88" s="42"/>
      <c r="R88" s="42"/>
    </row>
    <row r="89" spans="1:19" x14ac:dyDescent="0.25">
      <c r="A89" s="62" t="s">
        <v>81</v>
      </c>
      <c r="B89" s="134"/>
      <c r="C89" s="134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</row>
    <row r="90" spans="1:19" x14ac:dyDescent="0.25">
      <c r="A90" s="62"/>
      <c r="B90" s="42"/>
      <c r="C90" s="42"/>
      <c r="D90" s="42"/>
      <c r="E90" s="42"/>
      <c r="F90" s="42"/>
      <c r="G90" s="42"/>
      <c r="H90" s="42"/>
      <c r="I90" s="42"/>
      <c r="J90" s="42"/>
      <c r="K90" s="19"/>
      <c r="L90" s="42"/>
      <c r="M90" s="42"/>
      <c r="N90" s="42"/>
      <c r="O90" s="42"/>
      <c r="P90" s="42"/>
      <c r="Q90" s="42"/>
      <c r="R90" s="42"/>
    </row>
    <row r="91" spans="1:19" x14ac:dyDescent="0.25">
      <c r="A91" s="37" t="s">
        <v>0</v>
      </c>
      <c r="B91" s="63"/>
      <c r="C91" s="63"/>
      <c r="D91" s="63"/>
      <c r="E91" s="63"/>
      <c r="F91" s="63"/>
      <c r="G91" s="63"/>
      <c r="H91" s="63"/>
      <c r="I91" s="63"/>
      <c r="J91" s="63"/>
      <c r="K91" s="19"/>
      <c r="L91" s="63"/>
      <c r="M91" s="63"/>
      <c r="N91" s="63"/>
      <c r="O91" s="63"/>
      <c r="P91" s="63"/>
      <c r="Q91" s="63"/>
      <c r="R91" s="63"/>
    </row>
    <row r="92" spans="1:19" ht="15.75" x14ac:dyDescent="0.25">
      <c r="A92" s="54" t="s">
        <v>82</v>
      </c>
      <c r="B92" s="30">
        <f t="shared" ref="B92:M92" si="22">SUM(B93:B97)</f>
        <v>573310.13000000012</v>
      </c>
      <c r="C92" s="30">
        <f t="shared" si="22"/>
        <v>640954.37999999989</v>
      </c>
      <c r="D92" s="30">
        <f t="shared" si="22"/>
        <v>772838.96</v>
      </c>
      <c r="E92" s="30">
        <f t="shared" si="22"/>
        <v>765608.44000000006</v>
      </c>
      <c r="F92" s="30">
        <f t="shared" si="22"/>
        <v>834154.90999999992</v>
      </c>
      <c r="G92" s="30">
        <f t="shared" si="22"/>
        <v>687009.8600000001</v>
      </c>
      <c r="H92" s="30">
        <f t="shared" si="22"/>
        <v>699909.08000000007</v>
      </c>
      <c r="I92" s="30">
        <f t="shared" si="22"/>
        <v>671111.13</v>
      </c>
      <c r="J92" s="30">
        <f t="shared" si="22"/>
        <v>684349.56</v>
      </c>
      <c r="K92" s="30">
        <f t="shared" si="22"/>
        <v>422223.29999999993</v>
      </c>
      <c r="L92" s="30">
        <f t="shared" si="22"/>
        <v>635457.54</v>
      </c>
      <c r="M92" s="30">
        <f t="shared" si="22"/>
        <v>398740.64</v>
      </c>
      <c r="N92" s="30">
        <f>SUM(B92:M92)</f>
        <v>7785667.9300000006</v>
      </c>
      <c r="O92" s="30"/>
      <c r="P92" s="30"/>
      <c r="Q92" s="30"/>
      <c r="R92" s="30"/>
    </row>
    <row r="93" spans="1:19" x14ac:dyDescent="0.25">
      <c r="A93" s="107" t="s">
        <v>67</v>
      </c>
      <c r="B93" s="42">
        <v>549619.26</v>
      </c>
      <c r="C93" s="42">
        <v>597465.32999999996</v>
      </c>
      <c r="D93" s="42">
        <v>741301.04</v>
      </c>
      <c r="E93" s="42">
        <v>725303.52</v>
      </c>
      <c r="F93" s="42">
        <v>783035.33</v>
      </c>
      <c r="G93" s="42">
        <v>637927.48</v>
      </c>
      <c r="H93" s="42">
        <v>666777.05000000005</v>
      </c>
      <c r="I93" s="42">
        <v>629104.64000000001</v>
      </c>
      <c r="J93" s="42">
        <v>647777.30000000005</v>
      </c>
      <c r="K93" s="42">
        <v>413703.63</v>
      </c>
      <c r="L93" s="42">
        <v>590815.68000000005</v>
      </c>
      <c r="M93" s="42">
        <v>367858.38</v>
      </c>
      <c r="N93" s="42"/>
      <c r="O93" s="42"/>
      <c r="P93" s="42"/>
      <c r="Q93" s="42"/>
      <c r="R93" s="42"/>
      <c r="S93" s="118">
        <v>5</v>
      </c>
    </row>
    <row r="94" spans="1:19" x14ac:dyDescent="0.25">
      <c r="A94" s="107" t="s">
        <v>68</v>
      </c>
      <c r="B94" s="42">
        <v>13984.43</v>
      </c>
      <c r="C94" s="42">
        <v>21468.5</v>
      </c>
      <c r="D94" s="42">
        <v>16053.57</v>
      </c>
      <c r="E94" s="42">
        <v>18603.849999999999</v>
      </c>
      <c r="F94" s="42">
        <v>21536.7</v>
      </c>
      <c r="G94" s="42">
        <v>24613.41</v>
      </c>
      <c r="H94" s="42">
        <v>20777.63</v>
      </c>
      <c r="I94" s="42">
        <v>25425.14</v>
      </c>
      <c r="J94" s="42">
        <v>22132.31</v>
      </c>
      <c r="K94" s="42">
        <v>7745.66</v>
      </c>
      <c r="L94" s="42">
        <v>20975.79</v>
      </c>
      <c r="M94" s="42">
        <v>16544.439999999999</v>
      </c>
      <c r="N94" s="42"/>
      <c r="O94" s="42"/>
      <c r="P94" s="42"/>
      <c r="Q94" s="42"/>
      <c r="R94" s="42"/>
      <c r="S94" s="118">
        <v>5</v>
      </c>
    </row>
    <row r="95" spans="1:19" x14ac:dyDescent="0.25">
      <c r="A95" s="107" t="s">
        <v>69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42"/>
      <c r="O95" s="42"/>
      <c r="P95" s="42"/>
      <c r="Q95" s="42"/>
      <c r="R95" s="42"/>
      <c r="S95" s="118">
        <v>5</v>
      </c>
    </row>
    <row r="96" spans="1:19" x14ac:dyDescent="0.25">
      <c r="A96" s="107" t="s">
        <v>70</v>
      </c>
      <c r="B96" s="42">
        <v>6043.18</v>
      </c>
      <c r="C96" s="42">
        <v>7940.47</v>
      </c>
      <c r="D96" s="42">
        <v>9648.74</v>
      </c>
      <c r="E96" s="42">
        <v>11183.81</v>
      </c>
      <c r="F96" s="42">
        <v>15890.72</v>
      </c>
      <c r="G96" s="42">
        <v>9082.5400000000009</v>
      </c>
      <c r="H96" s="42">
        <v>4351.1499999999996</v>
      </c>
      <c r="I96" s="42">
        <v>8702.41</v>
      </c>
      <c r="J96" s="42">
        <v>10591.19</v>
      </c>
      <c r="K96" s="42">
        <v>155.91</v>
      </c>
      <c r="L96" s="42">
        <v>11256.82</v>
      </c>
      <c r="M96" s="42">
        <v>10938.57</v>
      </c>
      <c r="N96" s="42"/>
      <c r="O96" s="42"/>
      <c r="P96" s="42"/>
      <c r="Q96" s="42"/>
      <c r="R96" s="42"/>
      <c r="S96" s="118">
        <v>6</v>
      </c>
    </row>
    <row r="97" spans="1:19" x14ac:dyDescent="0.25">
      <c r="A97" s="107" t="s">
        <v>71</v>
      </c>
      <c r="B97" s="42">
        <v>3663.26</v>
      </c>
      <c r="C97" s="42">
        <v>14080.08</v>
      </c>
      <c r="D97" s="42">
        <v>5835.61</v>
      </c>
      <c r="E97" s="42">
        <v>10517.26</v>
      </c>
      <c r="F97" s="42">
        <v>13692.16</v>
      </c>
      <c r="G97" s="42">
        <v>15386.43</v>
      </c>
      <c r="H97" s="42">
        <v>8003.25</v>
      </c>
      <c r="I97" s="42">
        <v>7878.94</v>
      </c>
      <c r="J97" s="42">
        <v>3848.76</v>
      </c>
      <c r="K97" s="42">
        <v>618.1</v>
      </c>
      <c r="L97" s="42">
        <v>12409.25</v>
      </c>
      <c r="M97" s="42">
        <v>3399.25</v>
      </c>
      <c r="N97" s="42"/>
      <c r="O97" s="42"/>
      <c r="P97" s="42"/>
      <c r="Q97" s="42"/>
      <c r="R97" s="42"/>
      <c r="S97" s="118">
        <v>6</v>
      </c>
    </row>
    <row r="98" spans="1:19" x14ac:dyDescent="0.25">
      <c r="A98" s="64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</row>
    <row r="99" spans="1:19" ht="15.75" x14ac:dyDescent="0.25">
      <c r="A99" s="54" t="s">
        <v>83</v>
      </c>
      <c r="B99" s="30">
        <f>+B100+B101+B102+B103+B104</f>
        <v>577762.1</v>
      </c>
      <c r="C99" s="30">
        <f>+C100+C101+C102+C103+C104</f>
        <v>399910.62</v>
      </c>
      <c r="D99" s="30">
        <f>+D100+D101+D102+D103+D104</f>
        <v>607854.61</v>
      </c>
      <c r="E99" s="30">
        <f>+E100+E101+E102+E103+E104</f>
        <v>492978.89</v>
      </c>
      <c r="F99" s="30">
        <f>+F100+F101+F102+F103+F104</f>
        <v>665355.06999999995</v>
      </c>
      <c r="G99" s="30">
        <f>SUM(G100:G104)</f>
        <v>636696.41</v>
      </c>
      <c r="H99" s="30">
        <f>SUM(H100:H104)</f>
        <v>475139.07999999996</v>
      </c>
      <c r="I99" s="30">
        <f>+I100+I101+I102+I103+I104</f>
        <v>468502.67</v>
      </c>
      <c r="J99" s="30">
        <f>+J100+J101+J102+J103+J104</f>
        <v>466009.12</v>
      </c>
      <c r="K99" s="30">
        <f>+K100+K101+K102+K103+K104</f>
        <v>512044.53999999992</v>
      </c>
      <c r="L99" s="30">
        <f>+L100+L101+L102+L103+L104</f>
        <v>228720.46000000002</v>
      </c>
      <c r="M99" s="30">
        <f>+M100+M101+M102+M103+M104</f>
        <v>259176.69999999998</v>
      </c>
      <c r="N99" s="30">
        <f>SUM(B99:M99)</f>
        <v>5790150.2700000005</v>
      </c>
      <c r="O99" s="30"/>
      <c r="P99" s="30"/>
      <c r="Q99" s="30"/>
      <c r="R99" s="30"/>
    </row>
    <row r="100" spans="1:19" ht="14.25" customHeight="1" x14ac:dyDescent="0.25">
      <c r="A100" s="107" t="s">
        <v>67</v>
      </c>
      <c r="B100" s="42">
        <v>548007.13</v>
      </c>
      <c r="C100" s="42">
        <v>387882.5</v>
      </c>
      <c r="D100" s="42">
        <v>591746.13</v>
      </c>
      <c r="E100" s="42">
        <v>481714.44</v>
      </c>
      <c r="F100" s="42">
        <v>636092.09</v>
      </c>
      <c r="G100" s="42">
        <v>601130.25</v>
      </c>
      <c r="H100" s="42">
        <f>273732.05+156773.41+2357.78+1416.31</f>
        <v>434279.55</v>
      </c>
      <c r="I100" s="42">
        <f>273732.05+2357.78+156773.41+1416.31</f>
        <v>434279.55</v>
      </c>
      <c r="J100" s="42">
        <v>446491.43</v>
      </c>
      <c r="K100" s="42">
        <v>488401.98</v>
      </c>
      <c r="L100" s="42">
        <v>220944.22</v>
      </c>
      <c r="M100" s="42">
        <v>245783.11</v>
      </c>
      <c r="N100" s="42"/>
      <c r="O100" s="42"/>
      <c r="P100" s="42"/>
      <c r="Q100" s="42"/>
      <c r="R100" s="42"/>
    </row>
    <row r="101" spans="1:19" x14ac:dyDescent="0.25">
      <c r="A101" s="107" t="s">
        <v>68</v>
      </c>
      <c r="B101" s="42">
        <v>24308.789999999997</v>
      </c>
      <c r="C101" s="42">
        <v>11054.75</v>
      </c>
      <c r="D101" s="42">
        <v>14856.870000000003</v>
      </c>
      <c r="E101" s="42">
        <v>8123.0199999999995</v>
      </c>
      <c r="F101" s="42">
        <v>23374.14</v>
      </c>
      <c r="G101" s="42">
        <v>25132.78</v>
      </c>
      <c r="H101" s="42">
        <f>6636.41+42.44+26937.21+222.67</f>
        <v>33838.729999999996</v>
      </c>
      <c r="I101" s="42">
        <f>42.44+26937.21+222.67</f>
        <v>27202.319999999996</v>
      </c>
      <c r="J101" s="42">
        <v>16652.21</v>
      </c>
      <c r="K101" s="42">
        <v>20906.22</v>
      </c>
      <c r="L101" s="42">
        <v>5992.41</v>
      </c>
      <c r="M101" s="42">
        <v>7564.21</v>
      </c>
      <c r="N101" s="42"/>
      <c r="O101" s="42"/>
      <c r="P101" s="42"/>
      <c r="Q101" s="42"/>
      <c r="R101" s="42"/>
    </row>
    <row r="102" spans="1:19" x14ac:dyDescent="0.25">
      <c r="A102" s="107" t="s">
        <v>69</v>
      </c>
      <c r="B102" s="42">
        <v>0</v>
      </c>
      <c r="C102" s="42">
        <v>0</v>
      </c>
      <c r="D102" s="42">
        <v>0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</row>
    <row r="103" spans="1:19" x14ac:dyDescent="0.25">
      <c r="A103" s="107" t="s">
        <v>70</v>
      </c>
      <c r="B103" s="42">
        <v>4873.97</v>
      </c>
      <c r="C103" s="42">
        <v>390.77000000000004</v>
      </c>
      <c r="D103" s="42">
        <v>298.14999999999998</v>
      </c>
      <c r="E103" s="42">
        <v>3141.43</v>
      </c>
      <c r="F103" s="42">
        <v>5588.61</v>
      </c>
      <c r="G103" s="42">
        <v>9687.2800000000007</v>
      </c>
      <c r="H103" s="42">
        <f>3113.41+31.42</f>
        <v>3144.83</v>
      </c>
      <c r="I103" s="42">
        <f>3113.41+31.42</f>
        <v>3144.83</v>
      </c>
      <c r="J103" s="42">
        <v>2865.48</v>
      </c>
      <c r="K103" s="42">
        <v>2167.12</v>
      </c>
      <c r="L103" s="42">
        <v>154.35</v>
      </c>
      <c r="M103" s="42">
        <v>4199.8999999999996</v>
      </c>
      <c r="N103" s="42"/>
      <c r="O103" s="42"/>
      <c r="P103" s="42"/>
      <c r="Q103" s="42"/>
      <c r="R103" s="42"/>
      <c r="S103" s="118">
        <v>7</v>
      </c>
    </row>
    <row r="104" spans="1:19" x14ac:dyDescent="0.25">
      <c r="A104" s="107" t="s">
        <v>71</v>
      </c>
      <c r="B104" s="42">
        <v>572.21</v>
      </c>
      <c r="C104" s="42">
        <v>582.6</v>
      </c>
      <c r="D104" s="42">
        <v>953.45999999999992</v>
      </c>
      <c r="E104" s="42">
        <v>0</v>
      </c>
      <c r="F104" s="42">
        <v>300.23</v>
      </c>
      <c r="G104" s="42">
        <v>746.1</v>
      </c>
      <c r="H104" s="42">
        <f>3836.79+39.18</f>
        <v>3875.97</v>
      </c>
      <c r="I104" s="42">
        <f>3836.79+39.18</f>
        <v>3875.97</v>
      </c>
      <c r="J104" s="42"/>
      <c r="K104" s="42">
        <v>569.22</v>
      </c>
      <c r="L104" s="42">
        <v>1629.48</v>
      </c>
      <c r="M104" s="42">
        <v>1629.48</v>
      </c>
      <c r="N104" s="42"/>
      <c r="O104" s="42"/>
      <c r="P104" s="42"/>
      <c r="Q104" s="42"/>
      <c r="R104" s="42"/>
      <c r="S104" s="118">
        <v>7</v>
      </c>
    </row>
    <row r="105" spans="1:19" x14ac:dyDescent="0.25">
      <c r="A105" s="66"/>
      <c r="B105" s="43"/>
      <c r="C105" s="43"/>
      <c r="D105" s="43"/>
      <c r="E105" s="43"/>
      <c r="F105" s="43"/>
      <c r="G105" s="43"/>
      <c r="H105" s="43"/>
      <c r="I105" s="43"/>
      <c r="J105" s="43"/>
      <c r="K105" s="19"/>
      <c r="L105" s="43"/>
      <c r="M105" s="43"/>
      <c r="N105" s="43"/>
      <c r="O105" s="43"/>
      <c r="P105" s="43"/>
      <c r="Q105" s="43"/>
      <c r="R105" s="43"/>
    </row>
    <row r="106" spans="1:19" x14ac:dyDescent="0.25">
      <c r="A106" s="107" t="s">
        <v>161</v>
      </c>
      <c r="B106" s="42">
        <v>0</v>
      </c>
      <c r="C106" s="42"/>
      <c r="D106" s="42"/>
      <c r="E106" s="42"/>
      <c r="F106" s="42"/>
      <c r="G106" s="42"/>
      <c r="H106" s="42"/>
      <c r="I106" s="42"/>
      <c r="J106" s="42"/>
      <c r="K106" s="19"/>
      <c r="L106" s="42">
        <v>0</v>
      </c>
      <c r="M106" s="42">
        <v>0</v>
      </c>
      <c r="N106" s="42"/>
      <c r="O106" s="42"/>
      <c r="P106" s="42"/>
      <c r="Q106" s="42"/>
      <c r="R106" s="42"/>
      <c r="S106" s="118">
        <v>10</v>
      </c>
    </row>
    <row r="107" spans="1:19" x14ac:dyDescent="0.25">
      <c r="A107" s="107" t="s">
        <v>84</v>
      </c>
      <c r="B107" s="42">
        <v>10</v>
      </c>
      <c r="C107" s="42">
        <v>8</v>
      </c>
      <c r="D107" s="42">
        <v>8</v>
      </c>
      <c r="E107" s="42">
        <v>7</v>
      </c>
      <c r="F107" s="42">
        <v>21</v>
      </c>
      <c r="G107" s="42">
        <v>19</v>
      </c>
      <c r="H107" s="42">
        <v>8</v>
      </c>
      <c r="I107" s="42">
        <v>3</v>
      </c>
      <c r="J107" s="42">
        <v>0</v>
      </c>
      <c r="K107" s="19">
        <v>2</v>
      </c>
      <c r="L107" s="42">
        <v>3</v>
      </c>
      <c r="M107" s="42">
        <v>3</v>
      </c>
      <c r="N107" s="42"/>
      <c r="O107" s="42"/>
      <c r="P107" s="42"/>
      <c r="Q107" s="42"/>
      <c r="R107" s="42"/>
      <c r="S107" s="118">
        <v>11</v>
      </c>
    </row>
    <row r="108" spans="1:19" x14ac:dyDescent="0.25">
      <c r="A108" s="107" t="s">
        <v>85</v>
      </c>
      <c r="B108" s="42">
        <v>0</v>
      </c>
      <c r="C108" s="42"/>
      <c r="D108" s="42">
        <v>2000</v>
      </c>
      <c r="E108" s="42"/>
      <c r="F108" s="42"/>
      <c r="G108" s="42"/>
      <c r="H108" s="43">
        <v>774.31</v>
      </c>
      <c r="I108" s="42"/>
      <c r="J108" s="43"/>
      <c r="K108" s="19"/>
      <c r="L108" s="42">
        <v>0</v>
      </c>
      <c r="M108" s="42">
        <v>0</v>
      </c>
      <c r="N108" s="42"/>
      <c r="O108" s="42"/>
      <c r="P108" s="42"/>
      <c r="Q108" s="42"/>
      <c r="R108" s="42"/>
      <c r="S108" s="118">
        <v>12</v>
      </c>
    </row>
    <row r="109" spans="1:19" x14ac:dyDescent="0.25">
      <c r="A109" s="67" t="s">
        <v>86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19"/>
      <c r="L109" s="68"/>
      <c r="M109" s="68"/>
      <c r="N109" s="68"/>
      <c r="O109" s="68"/>
      <c r="P109" s="68"/>
      <c r="Q109" s="68"/>
      <c r="R109" s="68"/>
    </row>
    <row r="110" spans="1:19" x14ac:dyDescent="0.25">
      <c r="A110" s="37" t="s">
        <v>87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</row>
    <row r="111" spans="1:19" ht="15.75" x14ac:dyDescent="0.25">
      <c r="A111" s="27" t="s">
        <v>88</v>
      </c>
      <c r="B111" s="69">
        <f>B112</f>
        <v>3121</v>
      </c>
      <c r="C111" s="69">
        <f t="shared" ref="C111:M111" si="23">C112</f>
        <v>3130</v>
      </c>
      <c r="D111" s="69">
        <f t="shared" si="23"/>
        <v>3147</v>
      </c>
      <c r="E111" s="69">
        <f t="shared" si="23"/>
        <v>3153</v>
      </c>
      <c r="F111" s="69">
        <f t="shared" si="23"/>
        <v>3158</v>
      </c>
      <c r="G111" s="69">
        <f t="shared" si="23"/>
        <v>3171</v>
      </c>
      <c r="H111" s="69">
        <f t="shared" si="23"/>
        <v>3175</v>
      </c>
      <c r="I111" s="69">
        <f t="shared" si="23"/>
        <v>3176</v>
      </c>
      <c r="J111" s="69">
        <f t="shared" si="23"/>
        <v>3189</v>
      </c>
      <c r="K111" s="69">
        <f t="shared" si="23"/>
        <v>3192</v>
      </c>
      <c r="L111" s="69">
        <f t="shared" si="23"/>
        <v>3208</v>
      </c>
      <c r="M111" s="69">
        <f t="shared" si="23"/>
        <v>3212</v>
      </c>
      <c r="N111" s="69">
        <f>SUM(B111:M111)</f>
        <v>38032</v>
      </c>
      <c r="O111" s="69"/>
      <c r="P111" s="69"/>
      <c r="Q111" s="69"/>
      <c r="R111" s="69"/>
      <c r="S111" s="118">
        <v>14</v>
      </c>
    </row>
    <row r="112" spans="1:19" x14ac:dyDescent="0.25">
      <c r="A112" s="70" t="s">
        <v>89</v>
      </c>
      <c r="B112" s="71">
        <f>+B113+B114+B115+B116+B117</f>
        <v>3121</v>
      </c>
      <c r="C112" s="71">
        <f t="shared" ref="C112:M112" si="24">+C113+C114+C115+C116+C117</f>
        <v>3130</v>
      </c>
      <c r="D112" s="71">
        <f t="shared" si="24"/>
        <v>3147</v>
      </c>
      <c r="E112" s="71">
        <f t="shared" si="24"/>
        <v>3153</v>
      </c>
      <c r="F112" s="71">
        <f t="shared" si="24"/>
        <v>3158</v>
      </c>
      <c r="G112" s="71">
        <f t="shared" si="24"/>
        <v>3171</v>
      </c>
      <c r="H112" s="71">
        <f t="shared" si="24"/>
        <v>3175</v>
      </c>
      <c r="I112" s="71">
        <f t="shared" si="24"/>
        <v>3176</v>
      </c>
      <c r="J112" s="71">
        <f t="shared" si="24"/>
        <v>3189</v>
      </c>
      <c r="K112" s="71">
        <f t="shared" si="24"/>
        <v>3192</v>
      </c>
      <c r="L112" s="71">
        <f t="shared" si="24"/>
        <v>3208</v>
      </c>
      <c r="M112" s="71">
        <f t="shared" si="24"/>
        <v>3212</v>
      </c>
      <c r="N112" s="71"/>
      <c r="O112" s="71"/>
      <c r="P112" s="71"/>
      <c r="Q112" s="71"/>
      <c r="R112" s="71"/>
    </row>
    <row r="113" spans="1:18" x14ac:dyDescent="0.25">
      <c r="A113" s="106" t="s">
        <v>90</v>
      </c>
      <c r="B113" s="50">
        <v>3052</v>
      </c>
      <c r="C113" s="50">
        <v>3063</v>
      </c>
      <c r="D113" s="50">
        <v>3079</v>
      </c>
      <c r="E113" s="50">
        <v>3085</v>
      </c>
      <c r="F113" s="50">
        <v>3087</v>
      </c>
      <c r="G113" s="50">
        <v>3100</v>
      </c>
      <c r="H113" s="50">
        <v>3103</v>
      </c>
      <c r="I113" s="50">
        <v>3104</v>
      </c>
      <c r="J113" s="50">
        <v>3117</v>
      </c>
      <c r="K113" s="50">
        <v>3120</v>
      </c>
      <c r="L113" s="50">
        <v>3136</v>
      </c>
      <c r="M113" s="50">
        <v>3140</v>
      </c>
      <c r="N113" s="50"/>
      <c r="O113" s="50"/>
      <c r="P113" s="50"/>
      <c r="Q113" s="50"/>
      <c r="R113" s="50"/>
    </row>
    <row r="114" spans="1:18" x14ac:dyDescent="0.25">
      <c r="A114" s="106" t="s">
        <v>91</v>
      </c>
      <c r="B114" s="50">
        <v>46</v>
      </c>
      <c r="C114" s="50">
        <v>44</v>
      </c>
      <c r="D114" s="50">
        <v>45</v>
      </c>
      <c r="E114" s="50">
        <v>45</v>
      </c>
      <c r="F114" s="50">
        <v>48</v>
      </c>
      <c r="G114" s="50">
        <v>48</v>
      </c>
      <c r="H114" s="50">
        <v>49</v>
      </c>
      <c r="I114" s="50">
        <v>49</v>
      </c>
      <c r="J114" s="50">
        <v>49</v>
      </c>
      <c r="K114" s="50">
        <v>49</v>
      </c>
      <c r="L114" s="50">
        <v>49</v>
      </c>
      <c r="M114" s="50">
        <v>49</v>
      </c>
      <c r="N114" s="50"/>
      <c r="O114" s="50"/>
      <c r="P114" s="50"/>
      <c r="Q114" s="50"/>
      <c r="R114" s="50"/>
    </row>
    <row r="115" spans="1:18" x14ac:dyDescent="0.25">
      <c r="A115" s="106" t="s">
        <v>92</v>
      </c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50"/>
      <c r="O115" s="50"/>
      <c r="P115" s="50"/>
      <c r="Q115" s="50"/>
      <c r="R115" s="50"/>
    </row>
    <row r="116" spans="1:18" x14ac:dyDescent="0.25">
      <c r="A116" s="106" t="s">
        <v>93</v>
      </c>
      <c r="B116" s="50">
        <v>8</v>
      </c>
      <c r="C116" s="50">
        <v>8</v>
      </c>
      <c r="D116" s="50">
        <v>8</v>
      </c>
      <c r="E116" s="50">
        <v>8</v>
      </c>
      <c r="F116" s="50">
        <v>8</v>
      </c>
      <c r="G116" s="50">
        <v>8</v>
      </c>
      <c r="H116" s="50">
        <v>8</v>
      </c>
      <c r="I116" s="50">
        <v>8</v>
      </c>
      <c r="J116" s="50">
        <v>8</v>
      </c>
      <c r="K116" s="50">
        <v>8</v>
      </c>
      <c r="L116" s="50">
        <v>8</v>
      </c>
      <c r="M116" s="50">
        <v>8</v>
      </c>
      <c r="N116" s="50"/>
      <c r="O116" s="50"/>
      <c r="P116" s="50"/>
      <c r="Q116" s="50"/>
      <c r="R116" s="50"/>
    </row>
    <row r="117" spans="1:18" x14ac:dyDescent="0.25">
      <c r="A117" s="106" t="s">
        <v>94</v>
      </c>
      <c r="B117" s="50">
        <v>15</v>
      </c>
      <c r="C117" s="50">
        <v>15</v>
      </c>
      <c r="D117" s="50">
        <v>15</v>
      </c>
      <c r="E117" s="50">
        <v>15</v>
      </c>
      <c r="F117" s="50">
        <v>15</v>
      </c>
      <c r="G117" s="50">
        <v>15</v>
      </c>
      <c r="H117" s="50">
        <v>15</v>
      </c>
      <c r="I117" s="50">
        <v>15</v>
      </c>
      <c r="J117" s="50">
        <v>15</v>
      </c>
      <c r="K117" s="50">
        <v>15</v>
      </c>
      <c r="L117" s="50">
        <v>15</v>
      </c>
      <c r="M117" s="50">
        <v>15</v>
      </c>
      <c r="N117" s="50"/>
      <c r="O117" s="50"/>
      <c r="P117" s="50"/>
      <c r="Q117" s="50"/>
      <c r="R117" s="50"/>
    </row>
    <row r="118" spans="1:18" x14ac:dyDescent="0.25">
      <c r="A118" s="70" t="s">
        <v>95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</row>
    <row r="119" spans="1:18" x14ac:dyDescent="0.25">
      <c r="A119" s="106" t="s">
        <v>90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>
        <v>0</v>
      </c>
      <c r="M119" s="50">
        <v>0</v>
      </c>
      <c r="N119" s="50"/>
      <c r="O119" s="50"/>
      <c r="P119" s="50"/>
      <c r="Q119" s="50"/>
      <c r="R119" s="50"/>
    </row>
    <row r="120" spans="1:18" x14ac:dyDescent="0.25">
      <c r="A120" s="108" t="s">
        <v>91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>
        <v>0</v>
      </c>
      <c r="M120" s="50">
        <v>0</v>
      </c>
      <c r="N120" s="50"/>
      <c r="O120" s="50"/>
      <c r="P120" s="50"/>
      <c r="Q120" s="50"/>
      <c r="R120" s="50"/>
    </row>
    <row r="121" spans="1:18" x14ac:dyDescent="0.25">
      <c r="A121" s="106" t="s">
        <v>92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>
        <v>0</v>
      </c>
      <c r="M121" s="50">
        <v>0</v>
      </c>
      <c r="N121" s="50"/>
      <c r="O121" s="50"/>
      <c r="P121" s="50"/>
      <c r="Q121" s="50"/>
      <c r="R121" s="50"/>
    </row>
    <row r="122" spans="1:18" x14ac:dyDescent="0.25">
      <c r="A122" s="106" t="s">
        <v>93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>
        <v>0</v>
      </c>
      <c r="M122" s="50">
        <v>0</v>
      </c>
      <c r="N122" s="50"/>
      <c r="O122" s="50"/>
      <c r="P122" s="50"/>
      <c r="Q122" s="50"/>
      <c r="R122" s="50"/>
    </row>
    <row r="123" spans="1:18" x14ac:dyDescent="0.25">
      <c r="A123" s="106" t="s">
        <v>94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>
        <v>0</v>
      </c>
      <c r="M123" s="50">
        <v>0</v>
      </c>
      <c r="N123" s="50"/>
      <c r="O123" s="50"/>
      <c r="P123" s="50"/>
      <c r="Q123" s="50"/>
      <c r="R123" s="50"/>
    </row>
    <row r="124" spans="1:18" ht="23.25" customHeight="1" x14ac:dyDescent="0.25">
      <c r="A124" s="111" t="s">
        <v>96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>
        <v>136</v>
      </c>
      <c r="M124" s="112">
        <v>135</v>
      </c>
      <c r="N124" s="112"/>
      <c r="O124" s="50"/>
      <c r="P124" s="50"/>
      <c r="Q124" s="50"/>
      <c r="R124" s="50"/>
    </row>
    <row r="125" spans="1:18" ht="15.75" customHeight="1" x14ac:dyDescent="0.2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</row>
    <row r="126" spans="1:18" ht="19.5" customHeight="1" x14ac:dyDescent="0.25">
      <c r="A126" s="113" t="s">
        <v>97</v>
      </c>
      <c r="B126" s="74">
        <v>2891</v>
      </c>
      <c r="C126" s="74">
        <v>2900</v>
      </c>
      <c r="D126" s="74">
        <v>2910</v>
      </c>
      <c r="E126" s="74">
        <v>2919</v>
      </c>
      <c r="F126" s="74">
        <v>2921</v>
      </c>
      <c r="G126" s="74">
        <v>2922</v>
      </c>
      <c r="H126" s="74">
        <v>2925</v>
      </c>
      <c r="I126" s="74">
        <v>2930</v>
      </c>
      <c r="J126" s="74">
        <v>2937</v>
      </c>
      <c r="K126" s="74"/>
      <c r="L126" s="74">
        <v>2950</v>
      </c>
      <c r="M126" s="74">
        <v>2951</v>
      </c>
      <c r="N126" s="74"/>
      <c r="O126" s="74"/>
      <c r="P126" s="74"/>
      <c r="Q126" s="74"/>
      <c r="R126" s="74"/>
    </row>
    <row r="127" spans="1:18" ht="19.5" customHeight="1" x14ac:dyDescent="0.25">
      <c r="A127" s="54" t="s">
        <v>163</v>
      </c>
      <c r="B127" s="124">
        <f>+B126/B111</f>
        <v>0.92630567125921182</v>
      </c>
      <c r="C127" s="124">
        <f t="shared" ref="C127:M127" si="25">+C126/C111</f>
        <v>0.92651757188498407</v>
      </c>
      <c r="D127" s="124">
        <f t="shared" si="25"/>
        <v>0.92469018112488088</v>
      </c>
      <c r="E127" s="124">
        <f t="shared" si="25"/>
        <v>0.92578496669838251</v>
      </c>
      <c r="F127" s="124">
        <f t="shared" si="25"/>
        <v>0.92495250158328057</v>
      </c>
      <c r="G127" s="124">
        <f t="shared" si="25"/>
        <v>0.92147587511825924</v>
      </c>
      <c r="H127" s="124">
        <f t="shared" si="25"/>
        <v>0.92125984251968507</v>
      </c>
      <c r="I127" s="124">
        <f t="shared" si="25"/>
        <v>0.92254408060453397</v>
      </c>
      <c r="J127" s="124">
        <f t="shared" si="25"/>
        <v>0.92097836312323611</v>
      </c>
      <c r="K127" s="124">
        <f t="shared" si="25"/>
        <v>0</v>
      </c>
      <c r="L127" s="124">
        <f t="shared" si="25"/>
        <v>0.91957605985037405</v>
      </c>
      <c r="M127" s="124">
        <f t="shared" si="25"/>
        <v>0.91874221668742218</v>
      </c>
      <c r="N127" s="74"/>
      <c r="O127" s="74"/>
      <c r="P127" s="74"/>
      <c r="Q127" s="74"/>
      <c r="R127" s="74"/>
    </row>
    <row r="128" spans="1:18" ht="19.5" customHeight="1" x14ac:dyDescent="0.25">
      <c r="A128" s="75"/>
      <c r="B128" s="76"/>
      <c r="C128" s="76"/>
      <c r="D128" s="104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</row>
    <row r="129" spans="1:18" ht="15" customHeight="1" x14ac:dyDescent="0.25">
      <c r="A129" s="37" t="s">
        <v>98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</row>
    <row r="130" spans="1:18" ht="15.75" x14ac:dyDescent="0.25">
      <c r="A130" s="27" t="s">
        <v>99</v>
      </c>
      <c r="B130" s="28">
        <f t="shared" ref="B130:M130" si="26">+B131+B135+B136</f>
        <v>10719260.359999999</v>
      </c>
      <c r="C130" s="28">
        <f t="shared" si="26"/>
        <v>9725206.6799999997</v>
      </c>
      <c r="D130" s="28">
        <f t="shared" si="26"/>
        <v>10627222.59</v>
      </c>
      <c r="E130" s="28">
        <f t="shared" si="26"/>
        <v>9833780.3999999985</v>
      </c>
      <c r="F130" s="28">
        <f t="shared" si="26"/>
        <v>8885930.5999999996</v>
      </c>
      <c r="G130" s="28">
        <f t="shared" si="26"/>
        <v>8061469.1500000004</v>
      </c>
      <c r="H130" s="28">
        <f t="shared" si="26"/>
        <v>8568064.0500000007</v>
      </c>
      <c r="I130" s="28">
        <f t="shared" si="26"/>
        <v>8392697.2599999998</v>
      </c>
      <c r="J130" s="28">
        <f t="shared" si="26"/>
        <v>8866030.6199999992</v>
      </c>
      <c r="K130" s="28">
        <f t="shared" si="26"/>
        <v>9074528.9600000009</v>
      </c>
      <c r="L130" s="28">
        <f t="shared" si="26"/>
        <v>9167812.3899999987</v>
      </c>
      <c r="M130" s="28">
        <f t="shared" si="26"/>
        <v>9125420.1099999994</v>
      </c>
      <c r="N130" s="28"/>
      <c r="O130" s="28"/>
      <c r="P130" s="28"/>
      <c r="Q130" s="28"/>
      <c r="R130" s="28"/>
    </row>
    <row r="131" spans="1:18" x14ac:dyDescent="0.25">
      <c r="A131" s="70" t="s">
        <v>100</v>
      </c>
      <c r="B131" s="30">
        <f>+B132+B133+B134</f>
        <v>8118739</v>
      </c>
      <c r="C131" s="30">
        <f>+C132+C133+C134</f>
        <v>7291268.4199999999</v>
      </c>
      <c r="D131" s="30">
        <f t="shared" ref="D131:M131" si="27">+D132+D133+D134</f>
        <v>7901085.3700000001</v>
      </c>
      <c r="E131" s="30">
        <f t="shared" si="27"/>
        <v>7207665.2999999998</v>
      </c>
      <c r="F131" s="30">
        <f t="shared" si="27"/>
        <v>6135496.2799999993</v>
      </c>
      <c r="G131" s="30">
        <f t="shared" si="27"/>
        <v>5397492.6900000004</v>
      </c>
      <c r="H131" s="30">
        <f t="shared" si="27"/>
        <v>5782796.6000000006</v>
      </c>
      <c r="I131" s="30">
        <f t="shared" si="27"/>
        <v>5703058.29</v>
      </c>
      <c r="J131" s="30">
        <f t="shared" si="27"/>
        <v>6053261.5499999998</v>
      </c>
      <c r="K131" s="30">
        <f t="shared" si="27"/>
        <v>6249242.8600000003</v>
      </c>
      <c r="L131" s="30">
        <f t="shared" si="27"/>
        <v>6332661.1299999999</v>
      </c>
      <c r="M131" s="30">
        <f t="shared" si="27"/>
        <v>6284483.4399999995</v>
      </c>
      <c r="N131" s="30">
        <f>SUM(B131:M131)</f>
        <v>78457250.929999992</v>
      </c>
      <c r="O131" s="30">
        <f>O132+O136+O137</f>
        <v>0</v>
      </c>
      <c r="P131" s="30">
        <f>P132+P136+P137</f>
        <v>0</v>
      </c>
      <c r="Q131" s="30">
        <f>Q132+Q136+Q137</f>
        <v>0</v>
      </c>
      <c r="R131" s="30">
        <f>R132+R136+R137</f>
        <v>0</v>
      </c>
    </row>
    <row r="132" spans="1:18" x14ac:dyDescent="0.25">
      <c r="A132" s="106" t="s">
        <v>90</v>
      </c>
      <c r="B132" s="42">
        <v>7947489.3499999996</v>
      </c>
      <c r="C132" s="42">
        <v>7148385.6299999999</v>
      </c>
      <c r="D132" s="42">
        <v>7729590.79</v>
      </c>
      <c r="E132" s="42">
        <v>7042921.7199999997</v>
      </c>
      <c r="F132" s="42">
        <v>5983780.2599999998</v>
      </c>
      <c r="G132" s="42">
        <v>5242368.74</v>
      </c>
      <c r="H132" s="42">
        <v>5633985.4000000004</v>
      </c>
      <c r="I132" s="42">
        <v>5553325.3499999996</v>
      </c>
      <c r="J132" s="42">
        <v>5897085.6699999999</v>
      </c>
      <c r="K132" s="42">
        <v>6083080.79</v>
      </c>
      <c r="L132" s="42">
        <v>6160886.4900000002</v>
      </c>
      <c r="M132" s="42">
        <v>6107896.7199999997</v>
      </c>
      <c r="N132" s="42">
        <f>N133+N134+N135</f>
        <v>0</v>
      </c>
      <c r="O132" s="42">
        <f>O133+O134+O135</f>
        <v>0</v>
      </c>
      <c r="P132" s="42">
        <f>P133+P134+P135</f>
        <v>0</v>
      </c>
      <c r="Q132" s="42">
        <f>Q133+Q134+Q135</f>
        <v>0</v>
      </c>
      <c r="R132" s="42">
        <f>R133+R134+R135</f>
        <v>0</v>
      </c>
    </row>
    <row r="133" spans="1:18" x14ac:dyDescent="0.25">
      <c r="A133" s="106" t="s">
        <v>91</v>
      </c>
      <c r="B133" s="42">
        <v>171249.65</v>
      </c>
      <c r="C133" s="42">
        <v>142882.79</v>
      </c>
      <c r="D133" s="42">
        <v>171494.58</v>
      </c>
      <c r="E133" s="42">
        <v>164743.57999999999</v>
      </c>
      <c r="F133" s="42">
        <v>151716.01999999999</v>
      </c>
      <c r="G133" s="42">
        <v>155123.95000000001</v>
      </c>
      <c r="H133" s="42">
        <v>148811.20000000001</v>
      </c>
      <c r="I133" s="42">
        <v>149732.94</v>
      </c>
      <c r="J133" s="42">
        <v>156175.88</v>
      </c>
      <c r="K133" s="42">
        <v>166162.07</v>
      </c>
      <c r="L133" s="42">
        <v>171774.64</v>
      </c>
      <c r="M133" s="42">
        <v>176586.72</v>
      </c>
      <c r="N133" s="42"/>
      <c r="O133" s="42"/>
      <c r="P133" s="42"/>
      <c r="Q133" s="42"/>
      <c r="R133" s="42"/>
    </row>
    <row r="134" spans="1:18" hidden="1" x14ac:dyDescent="0.25">
      <c r="A134" s="106" t="s">
        <v>92</v>
      </c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42"/>
      <c r="M134" s="126"/>
      <c r="N134" s="126"/>
      <c r="O134" s="126"/>
      <c r="P134" s="42"/>
      <c r="Q134" s="42"/>
      <c r="R134" s="42"/>
    </row>
    <row r="135" spans="1:18" x14ac:dyDescent="0.25">
      <c r="A135" s="107" t="s">
        <v>101</v>
      </c>
      <c r="B135" s="42">
        <v>1062797.52</v>
      </c>
      <c r="C135" s="42">
        <v>1023534.27</v>
      </c>
      <c r="D135" s="42">
        <v>1113594.31</v>
      </c>
      <c r="E135" s="42">
        <v>1075627.68</v>
      </c>
      <c r="F135" s="42">
        <v>1123290.3700000001</v>
      </c>
      <c r="G135" s="42">
        <v>1091567.44</v>
      </c>
      <c r="H135" s="42">
        <v>1135913.05</v>
      </c>
      <c r="I135" s="42">
        <v>1098517.6499999999</v>
      </c>
      <c r="J135" s="42">
        <v>1147291.98</v>
      </c>
      <c r="K135" s="42">
        <v>1156839.4099999999</v>
      </c>
      <c r="L135" s="42">
        <v>1159238.1499999999</v>
      </c>
      <c r="M135" s="42">
        <v>1162919.56</v>
      </c>
      <c r="N135" s="42"/>
      <c r="O135" s="42"/>
      <c r="P135" s="42"/>
      <c r="Q135" s="42"/>
      <c r="R135" s="42"/>
    </row>
    <row r="136" spans="1:18" x14ac:dyDescent="0.25">
      <c r="A136" s="107" t="s">
        <v>102</v>
      </c>
      <c r="B136" s="42">
        <v>1537723.84</v>
      </c>
      <c r="C136" s="42">
        <v>1410403.99</v>
      </c>
      <c r="D136" s="42">
        <v>1612542.91</v>
      </c>
      <c r="E136" s="42">
        <v>1550487.42</v>
      </c>
      <c r="F136" s="42">
        <v>1627143.95</v>
      </c>
      <c r="G136" s="42">
        <v>1572409.02</v>
      </c>
      <c r="H136" s="42">
        <v>1649354.4</v>
      </c>
      <c r="I136" s="42">
        <v>1591121.32</v>
      </c>
      <c r="J136" s="42">
        <v>1665477.09</v>
      </c>
      <c r="K136" s="42">
        <v>1668446.69</v>
      </c>
      <c r="L136" s="42">
        <v>1675913.11</v>
      </c>
      <c r="M136" s="42">
        <v>1678017.11</v>
      </c>
      <c r="N136" s="42"/>
      <c r="O136" s="42"/>
      <c r="P136" s="42"/>
      <c r="Q136" s="42"/>
      <c r="R136" s="42"/>
    </row>
    <row r="137" spans="1:18" x14ac:dyDescent="0.25">
      <c r="A137" s="24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x14ac:dyDescent="0.25">
      <c r="A138" s="70" t="s">
        <v>103</v>
      </c>
      <c r="B138" s="71">
        <f>+B139+B140+B141+B142</f>
        <v>1523</v>
      </c>
      <c r="C138" s="71">
        <f>+C139+C140+C141+C142</f>
        <v>1459</v>
      </c>
      <c r="D138" s="71">
        <f>+D139+D140+D141+D142</f>
        <v>1420</v>
      </c>
      <c r="E138" s="71">
        <f>+E139+E140+E141+E142</f>
        <v>1365</v>
      </c>
      <c r="F138" s="71">
        <f>+F139+F140+F141+F142</f>
        <v>1307</v>
      </c>
      <c r="G138" s="71">
        <f t="shared" ref="G138:M138" si="28">SUM(G139:G142)</f>
        <v>1357</v>
      </c>
      <c r="H138" s="71">
        <f t="shared" si="28"/>
        <v>1425</v>
      </c>
      <c r="I138" s="71">
        <f t="shared" si="28"/>
        <v>1516</v>
      </c>
      <c r="J138" s="71">
        <f t="shared" si="28"/>
        <v>1430</v>
      </c>
      <c r="K138" s="71">
        <f t="shared" si="28"/>
        <v>1515</v>
      </c>
      <c r="L138" s="71">
        <f t="shared" si="28"/>
        <v>960</v>
      </c>
      <c r="M138" s="71">
        <f t="shared" si="28"/>
        <v>856</v>
      </c>
      <c r="N138" s="30">
        <f>SUM(B138:M138)</f>
        <v>16133</v>
      </c>
      <c r="O138" s="30"/>
      <c r="P138" s="30"/>
      <c r="Q138" s="30"/>
      <c r="R138" s="30"/>
    </row>
    <row r="139" spans="1:18" ht="14.25" customHeight="1" x14ac:dyDescent="0.25">
      <c r="A139" s="107" t="s">
        <v>104</v>
      </c>
      <c r="B139" s="50">
        <v>462</v>
      </c>
      <c r="C139" s="50">
        <v>425</v>
      </c>
      <c r="D139" s="50">
        <v>471</v>
      </c>
      <c r="E139" s="50">
        <v>446</v>
      </c>
      <c r="F139" s="50">
        <v>492</v>
      </c>
      <c r="G139" s="50">
        <v>546</v>
      </c>
      <c r="H139" s="50">
        <v>584</v>
      </c>
      <c r="I139" s="50">
        <v>620</v>
      </c>
      <c r="J139" s="50">
        <v>538</v>
      </c>
      <c r="K139" s="50">
        <v>575</v>
      </c>
      <c r="L139" s="50">
        <v>479</v>
      </c>
      <c r="M139" s="50">
        <v>347</v>
      </c>
      <c r="N139" s="50"/>
      <c r="O139" s="50"/>
      <c r="P139" s="50"/>
      <c r="Q139" s="50"/>
      <c r="R139" s="50"/>
    </row>
    <row r="140" spans="1:18" ht="15" customHeight="1" x14ac:dyDescent="0.25">
      <c r="A140" s="107" t="s">
        <v>105</v>
      </c>
      <c r="B140" s="50">
        <v>117</v>
      </c>
      <c r="C140" s="50">
        <v>114</v>
      </c>
      <c r="D140" s="50">
        <v>90</v>
      </c>
      <c r="E140" s="50">
        <v>113</v>
      </c>
      <c r="F140" s="50">
        <v>116</v>
      </c>
      <c r="G140" s="50">
        <v>125</v>
      </c>
      <c r="H140" s="50">
        <v>146</v>
      </c>
      <c r="I140" s="50">
        <v>171</v>
      </c>
      <c r="J140" s="50">
        <v>172</v>
      </c>
      <c r="K140" s="50">
        <v>193</v>
      </c>
      <c r="L140" s="50">
        <v>184</v>
      </c>
      <c r="M140" s="50">
        <v>162</v>
      </c>
      <c r="N140" s="50"/>
      <c r="O140" s="50"/>
      <c r="P140" s="50"/>
      <c r="Q140" s="50"/>
      <c r="R140" s="50"/>
    </row>
    <row r="141" spans="1:18" x14ac:dyDescent="0.25">
      <c r="A141" s="107" t="s">
        <v>106</v>
      </c>
      <c r="B141" s="50">
        <v>148</v>
      </c>
      <c r="C141" s="50">
        <v>134</v>
      </c>
      <c r="D141" s="50">
        <v>128</v>
      </c>
      <c r="E141" s="50">
        <v>144</v>
      </c>
      <c r="F141" s="50">
        <v>133</v>
      </c>
      <c r="G141" s="50">
        <v>145</v>
      </c>
      <c r="H141" s="50">
        <v>135</v>
      </c>
      <c r="I141" s="50">
        <v>153</v>
      </c>
      <c r="J141" s="50">
        <v>165</v>
      </c>
      <c r="K141" s="50">
        <v>175</v>
      </c>
      <c r="L141" s="50">
        <v>203</v>
      </c>
      <c r="M141" s="50">
        <v>247</v>
      </c>
      <c r="N141" s="50"/>
      <c r="O141" s="50"/>
      <c r="P141" s="50"/>
      <c r="Q141" s="50"/>
      <c r="R141" s="50"/>
    </row>
    <row r="142" spans="1:18" ht="15" customHeight="1" x14ac:dyDescent="0.25">
      <c r="A142" s="107" t="s">
        <v>107</v>
      </c>
      <c r="B142" s="50">
        <f>85+711</f>
        <v>796</v>
      </c>
      <c r="C142" s="50">
        <f>90+696</f>
        <v>786</v>
      </c>
      <c r="D142" s="50">
        <f>88+643</f>
        <v>731</v>
      </c>
      <c r="E142" s="50">
        <f>83+579</f>
        <v>662</v>
      </c>
      <c r="F142" s="50">
        <f>89+477</f>
        <v>566</v>
      </c>
      <c r="G142" s="50">
        <f>84+457</f>
        <v>541</v>
      </c>
      <c r="H142" s="50">
        <f>91+469</f>
        <v>560</v>
      </c>
      <c r="I142" s="50">
        <f>96+476</f>
        <v>572</v>
      </c>
      <c r="J142" s="50">
        <f>92+463</f>
        <v>555</v>
      </c>
      <c r="K142" s="50">
        <f>105+467</f>
        <v>572</v>
      </c>
      <c r="L142" s="50">
        <v>94</v>
      </c>
      <c r="M142" s="50">
        <v>100</v>
      </c>
      <c r="N142" s="50"/>
      <c r="O142" s="50"/>
      <c r="P142" s="50"/>
      <c r="Q142" s="50"/>
      <c r="R142" s="50"/>
    </row>
    <row r="143" spans="1:18" x14ac:dyDescent="0.25">
      <c r="A143" s="24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x14ac:dyDescent="0.25">
      <c r="A144" s="24" t="s">
        <v>108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</row>
    <row r="145" spans="1:19" ht="15" customHeight="1" x14ac:dyDescent="0.25">
      <c r="A145" s="107" t="s">
        <v>168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>
        <v>581</v>
      </c>
      <c r="M145" s="42">
        <v>352</v>
      </c>
      <c r="N145" s="42"/>
      <c r="O145" s="42"/>
      <c r="P145" s="42"/>
      <c r="Q145" s="42"/>
      <c r="R145" s="42"/>
    </row>
    <row r="146" spans="1:19" ht="15" customHeight="1" x14ac:dyDescent="0.25">
      <c r="A146" s="107" t="s">
        <v>109</v>
      </c>
      <c r="B146" s="42"/>
      <c r="C146" s="42"/>
      <c r="D146" s="42"/>
      <c r="E146" s="42"/>
      <c r="F146" s="42"/>
      <c r="G146" s="42"/>
      <c r="H146" s="42"/>
      <c r="I146" s="42"/>
      <c r="J146" s="77"/>
      <c r="K146" s="42"/>
      <c r="L146" s="42"/>
      <c r="M146" s="42"/>
      <c r="N146" s="42"/>
      <c r="O146" s="42"/>
      <c r="P146" s="42"/>
      <c r="Q146" s="42"/>
      <c r="R146" s="42"/>
    </row>
    <row r="147" spans="1:19" ht="14.25" customHeight="1" x14ac:dyDescent="0.25">
      <c r="A147" s="107" t="s">
        <v>110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</row>
    <row r="148" spans="1:19" x14ac:dyDescent="0.25">
      <c r="A148" s="109" t="s">
        <v>111</v>
      </c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>
        <v>0</v>
      </c>
      <c r="M148" s="42">
        <v>0</v>
      </c>
      <c r="N148" s="42"/>
      <c r="O148" s="42"/>
      <c r="P148" s="42"/>
      <c r="Q148" s="42"/>
      <c r="R148" s="42"/>
    </row>
    <row r="149" spans="1:19" ht="14.25" customHeight="1" x14ac:dyDescent="0.25">
      <c r="A149" s="5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1:19" x14ac:dyDescent="0.25">
      <c r="A150" s="79" t="s">
        <v>86</v>
      </c>
      <c r="B150" s="80"/>
      <c r="C150" s="80"/>
      <c r="D150" s="80"/>
      <c r="E150" s="80"/>
      <c r="F150" s="80"/>
      <c r="G150" s="80"/>
      <c r="H150" s="80"/>
      <c r="I150" s="80"/>
      <c r="J150" s="78"/>
      <c r="K150" s="78"/>
      <c r="L150" s="80"/>
      <c r="M150" s="80"/>
      <c r="N150" s="80"/>
      <c r="O150" s="80"/>
      <c r="P150" s="80"/>
      <c r="Q150" s="80"/>
      <c r="R150" s="80"/>
    </row>
    <row r="151" spans="1:19" x14ac:dyDescent="0.25">
      <c r="A151" s="37" t="s">
        <v>112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</row>
    <row r="152" spans="1:19" x14ac:dyDescent="0.25">
      <c r="A152" s="46" t="s">
        <v>112</v>
      </c>
      <c r="B152" s="47">
        <v>0.9</v>
      </c>
      <c r="C152" s="47">
        <f>+C154/C153</f>
        <v>1</v>
      </c>
      <c r="D152" s="47">
        <f>+D154/D153</f>
        <v>1</v>
      </c>
      <c r="E152" s="47">
        <v>0.91</v>
      </c>
      <c r="F152" s="47">
        <v>0.91</v>
      </c>
      <c r="G152" s="47">
        <v>0.91</v>
      </c>
      <c r="H152" s="47">
        <f>+H154/H153</f>
        <v>1</v>
      </c>
      <c r="I152" s="47">
        <f>+I154/I153</f>
        <v>1</v>
      </c>
      <c r="J152" s="47">
        <v>0.91</v>
      </c>
      <c r="K152" s="47">
        <f>+K154/K153</f>
        <v>1</v>
      </c>
      <c r="L152" s="47">
        <v>0.91</v>
      </c>
      <c r="M152" s="47">
        <v>0.91</v>
      </c>
      <c r="N152" s="47"/>
      <c r="O152" s="47"/>
      <c r="P152" s="47"/>
      <c r="Q152" s="47"/>
      <c r="R152" s="47"/>
    </row>
    <row r="153" spans="1:19" x14ac:dyDescent="0.25">
      <c r="A153" s="109" t="s">
        <v>113</v>
      </c>
      <c r="B153" s="50">
        <v>11432</v>
      </c>
      <c r="C153" s="50">
        <v>11432</v>
      </c>
      <c r="D153" s="50">
        <v>11432</v>
      </c>
      <c r="E153" s="50">
        <v>11432</v>
      </c>
      <c r="F153" s="50">
        <v>11432</v>
      </c>
      <c r="G153" s="50">
        <v>11432</v>
      </c>
      <c r="H153" s="50">
        <v>11432</v>
      </c>
      <c r="I153" s="50">
        <v>11432</v>
      </c>
      <c r="J153" s="50">
        <v>11432</v>
      </c>
      <c r="K153" s="50">
        <v>11432</v>
      </c>
      <c r="L153" s="50">
        <v>11432</v>
      </c>
      <c r="M153" s="50">
        <v>11432</v>
      </c>
      <c r="N153" s="50"/>
      <c r="O153" s="50"/>
      <c r="P153" s="50"/>
      <c r="Q153" s="50"/>
      <c r="R153" s="50"/>
    </row>
    <row r="154" spans="1:19" x14ac:dyDescent="0.25">
      <c r="A154" s="109" t="s">
        <v>114</v>
      </c>
      <c r="B154" s="50">
        <v>11432</v>
      </c>
      <c r="C154" s="50">
        <v>11432</v>
      </c>
      <c r="D154" s="50">
        <v>11432</v>
      </c>
      <c r="E154" s="50">
        <v>11432</v>
      </c>
      <c r="F154" s="50">
        <v>11432</v>
      </c>
      <c r="G154" s="50">
        <v>11432</v>
      </c>
      <c r="H154" s="50">
        <v>11432</v>
      </c>
      <c r="I154" s="50">
        <v>11432</v>
      </c>
      <c r="J154" s="50">
        <v>11432</v>
      </c>
      <c r="K154" s="50">
        <v>11432</v>
      </c>
      <c r="L154" s="50">
        <v>11432</v>
      </c>
      <c r="M154" s="50">
        <v>11432</v>
      </c>
      <c r="N154" s="50"/>
      <c r="O154" s="50"/>
      <c r="P154" s="50"/>
      <c r="Q154" s="50"/>
      <c r="R154" s="50"/>
    </row>
    <row r="155" spans="1:19" x14ac:dyDescent="0.25">
      <c r="A155" s="109" t="s">
        <v>115</v>
      </c>
      <c r="B155" s="50">
        <v>10974</v>
      </c>
      <c r="C155" s="50">
        <v>10974</v>
      </c>
      <c r="D155" s="50">
        <v>10974</v>
      </c>
      <c r="E155" s="50">
        <v>10974</v>
      </c>
      <c r="F155" s="50">
        <v>10974</v>
      </c>
      <c r="G155" s="50">
        <v>10974</v>
      </c>
      <c r="H155" s="50">
        <v>10974</v>
      </c>
      <c r="I155" s="50">
        <v>10974</v>
      </c>
      <c r="J155" s="50">
        <v>10974</v>
      </c>
      <c r="K155" s="50">
        <v>10974</v>
      </c>
      <c r="L155" s="50">
        <v>10974</v>
      </c>
      <c r="M155" s="50">
        <v>10974</v>
      </c>
      <c r="N155" s="50"/>
      <c r="O155" s="50"/>
      <c r="P155" s="50"/>
      <c r="Q155" s="50"/>
      <c r="R155" s="50"/>
    </row>
    <row r="156" spans="1:19" x14ac:dyDescent="0.25">
      <c r="A156" s="109" t="s">
        <v>116</v>
      </c>
      <c r="B156" s="50">
        <v>21</v>
      </c>
      <c r="C156" s="50">
        <v>21</v>
      </c>
      <c r="D156" s="50">
        <v>21</v>
      </c>
      <c r="E156" s="50">
        <v>21</v>
      </c>
      <c r="F156" s="50">
        <v>21</v>
      </c>
      <c r="G156" s="50">
        <v>21</v>
      </c>
      <c r="H156" s="50">
        <v>21</v>
      </c>
      <c r="I156" s="50">
        <v>21</v>
      </c>
      <c r="J156" s="50">
        <v>21</v>
      </c>
      <c r="K156" s="50">
        <v>21</v>
      </c>
      <c r="L156" s="50">
        <v>21</v>
      </c>
      <c r="M156" s="50">
        <v>21</v>
      </c>
      <c r="N156" s="50"/>
      <c r="O156" s="50"/>
      <c r="P156" s="50"/>
      <c r="Q156" s="50"/>
      <c r="R156" s="50"/>
    </row>
    <row r="157" spans="1:19" x14ac:dyDescent="0.25">
      <c r="A157" s="109" t="s">
        <v>117</v>
      </c>
      <c r="B157" s="50">
        <v>919</v>
      </c>
      <c r="C157" s="50">
        <v>919</v>
      </c>
      <c r="D157" s="50">
        <v>919</v>
      </c>
      <c r="E157" s="50">
        <v>919</v>
      </c>
      <c r="F157" s="50">
        <v>919</v>
      </c>
      <c r="G157" s="50">
        <v>919</v>
      </c>
      <c r="H157" s="50">
        <v>919</v>
      </c>
      <c r="I157" s="50">
        <v>919</v>
      </c>
      <c r="J157" s="50">
        <v>919</v>
      </c>
      <c r="K157" s="50">
        <v>919</v>
      </c>
      <c r="L157" s="50">
        <v>919</v>
      </c>
      <c r="M157" s="50">
        <v>919</v>
      </c>
      <c r="N157" s="50"/>
      <c r="O157" s="50"/>
      <c r="P157" s="50"/>
      <c r="Q157" s="50"/>
      <c r="R157" s="50"/>
    </row>
    <row r="158" spans="1:19" x14ac:dyDescent="0.25">
      <c r="A158" s="109" t="s">
        <v>118</v>
      </c>
      <c r="B158" s="50">
        <v>1698</v>
      </c>
      <c r="C158" s="50">
        <v>1676</v>
      </c>
      <c r="D158" s="50">
        <v>1822</v>
      </c>
      <c r="E158" s="50">
        <v>1930</v>
      </c>
      <c r="F158" s="50">
        <v>1960</v>
      </c>
      <c r="G158" s="50">
        <v>1733</v>
      </c>
      <c r="H158" s="50">
        <v>1724</v>
      </c>
      <c r="I158" s="50">
        <v>1714</v>
      </c>
      <c r="J158" s="50"/>
      <c r="K158" s="73">
        <v>1783</v>
      </c>
      <c r="L158" s="50">
        <v>1864</v>
      </c>
      <c r="M158" s="50">
        <v>1959</v>
      </c>
      <c r="N158" s="50"/>
      <c r="O158" s="50"/>
      <c r="P158" s="50"/>
      <c r="Q158" s="50"/>
      <c r="R158" s="50"/>
      <c r="S158" s="118">
        <v>15</v>
      </c>
    </row>
    <row r="159" spans="1:19" x14ac:dyDescent="0.25">
      <c r="A159" s="109" t="s">
        <v>119</v>
      </c>
      <c r="B159" s="50">
        <v>449</v>
      </c>
      <c r="C159" s="50">
        <v>546</v>
      </c>
      <c r="D159" s="50">
        <v>485</v>
      </c>
      <c r="E159" s="50">
        <v>501</v>
      </c>
      <c r="F159" s="50">
        <v>510</v>
      </c>
      <c r="G159" s="50">
        <v>521</v>
      </c>
      <c r="H159" s="50">
        <v>527</v>
      </c>
      <c r="I159" s="50">
        <v>540</v>
      </c>
      <c r="J159" s="50"/>
      <c r="K159" s="73">
        <v>551</v>
      </c>
      <c r="L159" s="50">
        <v>193</v>
      </c>
      <c r="M159" s="50">
        <v>193</v>
      </c>
      <c r="N159" s="50"/>
      <c r="O159" s="50"/>
      <c r="P159" s="50"/>
      <c r="Q159" s="50"/>
      <c r="R159" s="50"/>
      <c r="S159" s="118">
        <v>16</v>
      </c>
    </row>
    <row r="160" spans="1:19" x14ac:dyDescent="0.25">
      <c r="A160" s="109" t="s">
        <v>120</v>
      </c>
      <c r="B160" s="42">
        <v>1</v>
      </c>
      <c r="C160" s="42">
        <v>1</v>
      </c>
      <c r="D160" s="42">
        <v>1</v>
      </c>
      <c r="E160" s="42">
        <v>1</v>
      </c>
      <c r="F160" s="42">
        <v>1</v>
      </c>
      <c r="G160" s="42">
        <v>1</v>
      </c>
      <c r="H160" s="42">
        <v>1</v>
      </c>
      <c r="I160" s="42">
        <v>1</v>
      </c>
      <c r="J160" s="42">
        <v>1</v>
      </c>
      <c r="K160" s="42">
        <v>1</v>
      </c>
      <c r="L160" s="42">
        <v>1</v>
      </c>
      <c r="M160" s="42">
        <v>1</v>
      </c>
      <c r="N160" s="50"/>
      <c r="O160" s="50"/>
      <c r="P160" s="50"/>
      <c r="Q160" s="50"/>
      <c r="R160" s="50"/>
    </row>
    <row r="161" spans="1:18" x14ac:dyDescent="0.25">
      <c r="A161" s="109" t="s">
        <v>121</v>
      </c>
      <c r="B161" s="42">
        <v>0.5</v>
      </c>
      <c r="C161" s="42">
        <v>0.5</v>
      </c>
      <c r="D161" s="42">
        <v>0.5</v>
      </c>
      <c r="E161" s="42">
        <v>0.5</v>
      </c>
      <c r="F161" s="42">
        <v>0.5</v>
      </c>
      <c r="G161" s="42">
        <v>0.5</v>
      </c>
      <c r="H161" s="42">
        <v>0.5</v>
      </c>
      <c r="I161" s="42">
        <v>0.5</v>
      </c>
      <c r="J161" s="42">
        <v>0.5</v>
      </c>
      <c r="K161" s="42">
        <v>0.5</v>
      </c>
      <c r="L161" s="42">
        <v>0.5</v>
      </c>
      <c r="M161" s="42">
        <v>0.5</v>
      </c>
      <c r="N161" s="50"/>
      <c r="O161" s="50"/>
      <c r="P161" s="50"/>
      <c r="Q161" s="50"/>
      <c r="R161" s="50"/>
    </row>
    <row r="162" spans="1:18" x14ac:dyDescent="0.25">
      <c r="A162" s="109" t="s">
        <v>122</v>
      </c>
      <c r="B162" s="42">
        <v>1.5</v>
      </c>
      <c r="C162" s="42">
        <v>1.5</v>
      </c>
      <c r="D162" s="42">
        <v>1.5</v>
      </c>
      <c r="E162" s="42">
        <v>1.5</v>
      </c>
      <c r="F162" s="42">
        <v>1.5</v>
      </c>
      <c r="G162" s="42">
        <v>1.5</v>
      </c>
      <c r="H162" s="42">
        <v>1.5</v>
      </c>
      <c r="I162" s="42">
        <v>1.5</v>
      </c>
      <c r="J162" s="42">
        <v>1.5</v>
      </c>
      <c r="K162" s="42">
        <v>1.5</v>
      </c>
      <c r="L162" s="42">
        <v>1.5</v>
      </c>
      <c r="M162" s="42">
        <v>1.5</v>
      </c>
      <c r="N162" s="50"/>
      <c r="O162" s="50"/>
      <c r="P162" s="50"/>
      <c r="Q162" s="50"/>
      <c r="R162" s="50"/>
    </row>
    <row r="163" spans="1:18" x14ac:dyDescent="0.25">
      <c r="A163" s="109" t="s">
        <v>123</v>
      </c>
      <c r="B163" s="42">
        <v>1</v>
      </c>
      <c r="C163" s="42">
        <v>1</v>
      </c>
      <c r="D163" s="42">
        <v>1</v>
      </c>
      <c r="E163" s="42">
        <v>1</v>
      </c>
      <c r="F163" s="42">
        <v>1</v>
      </c>
      <c r="G163" s="42">
        <v>1</v>
      </c>
      <c r="H163" s="42">
        <v>1</v>
      </c>
      <c r="I163" s="42">
        <v>1</v>
      </c>
      <c r="J163" s="42">
        <v>1</v>
      </c>
      <c r="K163" s="42">
        <v>1</v>
      </c>
      <c r="L163" s="42">
        <v>1</v>
      </c>
      <c r="M163" s="42">
        <v>1</v>
      </c>
      <c r="N163" s="50"/>
      <c r="O163" s="50"/>
      <c r="P163" s="50"/>
      <c r="Q163" s="50"/>
      <c r="R163" s="50"/>
    </row>
    <row r="164" spans="1:18" x14ac:dyDescent="0.25">
      <c r="A164" s="109" t="s">
        <v>124</v>
      </c>
      <c r="B164" s="50">
        <v>1</v>
      </c>
      <c r="C164" s="50">
        <v>1</v>
      </c>
      <c r="D164" s="50">
        <v>1</v>
      </c>
      <c r="E164" s="50">
        <v>1</v>
      </c>
      <c r="F164" s="50">
        <v>1</v>
      </c>
      <c r="G164" s="50">
        <v>1</v>
      </c>
      <c r="H164" s="50">
        <v>1</v>
      </c>
      <c r="I164" s="50">
        <v>1</v>
      </c>
      <c r="J164" s="50">
        <v>1</v>
      </c>
      <c r="K164" s="50">
        <v>1</v>
      </c>
      <c r="L164" s="50">
        <v>1</v>
      </c>
      <c r="M164" s="50">
        <v>1</v>
      </c>
      <c r="N164" s="81"/>
      <c r="O164" s="81"/>
      <c r="P164" s="81"/>
      <c r="Q164" s="81"/>
      <c r="R164" s="81"/>
    </row>
    <row r="165" spans="1:18" x14ac:dyDescent="0.25">
      <c r="A165" s="109" t="s">
        <v>125</v>
      </c>
      <c r="B165" s="50">
        <v>1</v>
      </c>
      <c r="C165" s="50">
        <v>1</v>
      </c>
      <c r="D165" s="50">
        <v>1</v>
      </c>
      <c r="E165" s="42">
        <v>1</v>
      </c>
      <c r="F165" s="42">
        <v>1</v>
      </c>
      <c r="G165" s="42">
        <v>1</v>
      </c>
      <c r="H165" s="42">
        <v>1</v>
      </c>
      <c r="I165" s="42">
        <v>1</v>
      </c>
      <c r="J165" s="42">
        <v>1</v>
      </c>
      <c r="K165" s="42">
        <v>1</v>
      </c>
      <c r="L165" s="42">
        <v>1</v>
      </c>
      <c r="M165" s="42">
        <v>1</v>
      </c>
      <c r="N165" s="42"/>
      <c r="O165" s="42"/>
      <c r="P165" s="42"/>
      <c r="Q165" s="42"/>
      <c r="R165" s="42"/>
    </row>
    <row r="166" spans="1:18" x14ac:dyDescent="0.25">
      <c r="A166" s="109" t="s">
        <v>126</v>
      </c>
      <c r="B166" s="82">
        <v>4</v>
      </c>
      <c r="C166" s="68">
        <v>4</v>
      </c>
      <c r="D166" s="68">
        <v>0</v>
      </c>
      <c r="E166" s="42">
        <v>0</v>
      </c>
      <c r="F166" s="42">
        <v>0</v>
      </c>
      <c r="G166" s="42"/>
      <c r="H166" s="42"/>
      <c r="I166" s="42"/>
      <c r="J166" s="42"/>
      <c r="K166" s="42"/>
      <c r="L166" s="42">
        <v>0</v>
      </c>
      <c r="M166" s="42">
        <v>0</v>
      </c>
      <c r="N166" s="42"/>
      <c r="O166" s="42"/>
      <c r="P166" s="42"/>
      <c r="Q166" s="42"/>
      <c r="R166" s="42"/>
    </row>
    <row r="167" spans="1:18" x14ac:dyDescent="0.25">
      <c r="A167" s="46" t="s">
        <v>127</v>
      </c>
      <c r="B167" s="50">
        <v>17</v>
      </c>
      <c r="C167" s="50">
        <v>10</v>
      </c>
      <c r="D167" s="50">
        <v>14</v>
      </c>
      <c r="E167" s="50">
        <v>32</v>
      </c>
      <c r="F167" s="50">
        <v>16</v>
      </c>
      <c r="G167" s="50">
        <v>9</v>
      </c>
      <c r="H167" s="50"/>
      <c r="I167" s="50"/>
      <c r="J167" s="50"/>
      <c r="K167" s="50"/>
      <c r="L167" s="50">
        <v>10</v>
      </c>
      <c r="M167" s="50">
        <v>16</v>
      </c>
      <c r="N167" s="50">
        <f>SUM(B167:M167)</f>
        <v>124</v>
      </c>
      <c r="O167" s="50"/>
      <c r="P167" s="50"/>
      <c r="Q167" s="50"/>
      <c r="R167" s="50"/>
    </row>
    <row r="168" spans="1:18" x14ac:dyDescent="0.25">
      <c r="A168" s="109" t="s">
        <v>128</v>
      </c>
      <c r="B168" s="50"/>
      <c r="C168" s="50"/>
      <c r="D168" s="50"/>
      <c r="E168" s="50"/>
      <c r="F168" s="50"/>
      <c r="G168" s="50"/>
      <c r="H168" s="50"/>
      <c r="I168" s="50"/>
      <c r="J168" s="50"/>
      <c r="K168" s="83"/>
      <c r="L168" s="50">
        <v>3136</v>
      </c>
      <c r="M168" s="84">
        <v>3138</v>
      </c>
      <c r="N168" s="50"/>
      <c r="O168" s="50"/>
      <c r="P168" s="50"/>
      <c r="Q168" s="50"/>
      <c r="R168" s="50"/>
    </row>
    <row r="169" spans="1:18" x14ac:dyDescent="0.25">
      <c r="A169" s="109" t="s">
        <v>129</v>
      </c>
      <c r="B169" s="82"/>
      <c r="C169" s="68"/>
      <c r="D169" s="68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</row>
    <row r="170" spans="1:18" x14ac:dyDescent="0.25">
      <c r="A170" s="109" t="s">
        <v>130</v>
      </c>
      <c r="B170" s="50">
        <v>2</v>
      </c>
      <c r="C170" s="50">
        <v>2</v>
      </c>
      <c r="D170" s="50">
        <v>2</v>
      </c>
      <c r="E170" s="50">
        <v>2</v>
      </c>
      <c r="F170" s="50">
        <v>2</v>
      </c>
      <c r="G170" s="50">
        <v>2</v>
      </c>
      <c r="H170" s="50">
        <v>2</v>
      </c>
      <c r="I170" s="50">
        <v>2</v>
      </c>
      <c r="J170" s="50">
        <v>2</v>
      </c>
      <c r="K170" s="50">
        <v>2</v>
      </c>
      <c r="L170" s="50">
        <v>2</v>
      </c>
      <c r="M170" s="50">
        <v>2</v>
      </c>
      <c r="N170" s="50"/>
      <c r="O170" s="50"/>
      <c r="P170" s="50"/>
      <c r="Q170" s="50"/>
      <c r="R170" s="50"/>
    </row>
    <row r="171" spans="1:18" x14ac:dyDescent="0.25">
      <c r="A171" s="109" t="s">
        <v>131</v>
      </c>
      <c r="B171" s="50">
        <v>2</v>
      </c>
      <c r="C171" s="50">
        <v>2</v>
      </c>
      <c r="D171" s="50">
        <v>2</v>
      </c>
      <c r="E171" s="50">
        <v>2</v>
      </c>
      <c r="F171" s="50">
        <v>2</v>
      </c>
      <c r="G171" s="50">
        <v>2</v>
      </c>
      <c r="H171" s="50">
        <v>2</v>
      </c>
      <c r="I171" s="50">
        <v>2</v>
      </c>
      <c r="J171" s="50">
        <v>2</v>
      </c>
      <c r="K171" s="50">
        <v>2</v>
      </c>
      <c r="L171" s="50">
        <v>2</v>
      </c>
      <c r="M171" s="50">
        <v>2</v>
      </c>
      <c r="N171" s="50"/>
      <c r="O171" s="50"/>
      <c r="P171" s="50"/>
      <c r="Q171" s="50"/>
      <c r="R171" s="50"/>
    </row>
    <row r="172" spans="1:18" x14ac:dyDescent="0.25">
      <c r="A172" s="109" t="s">
        <v>132</v>
      </c>
      <c r="B172" s="50">
        <v>2</v>
      </c>
      <c r="C172" s="50">
        <v>2</v>
      </c>
      <c r="D172" s="50">
        <v>2</v>
      </c>
      <c r="E172" s="50">
        <v>2</v>
      </c>
      <c r="F172" s="50">
        <v>2</v>
      </c>
      <c r="G172" s="50">
        <v>2</v>
      </c>
      <c r="H172" s="50">
        <v>2</v>
      </c>
      <c r="I172" s="50">
        <v>2</v>
      </c>
      <c r="J172" s="50">
        <v>2</v>
      </c>
      <c r="K172" s="50">
        <v>2</v>
      </c>
      <c r="L172" s="50">
        <v>2</v>
      </c>
      <c r="M172" s="50">
        <v>2</v>
      </c>
      <c r="N172" s="50"/>
      <c r="O172" s="50"/>
      <c r="P172" s="50"/>
      <c r="Q172" s="50"/>
      <c r="R172" s="50"/>
    </row>
    <row r="173" spans="1:18" x14ac:dyDescent="0.25">
      <c r="A173" s="85" t="s">
        <v>133</v>
      </c>
      <c r="B173" s="74">
        <f t="shared" ref="B173:M173" si="29">+B174+B175+B176+B177+B178</f>
        <v>2</v>
      </c>
      <c r="C173" s="74">
        <f t="shared" si="29"/>
        <v>2</v>
      </c>
      <c r="D173" s="74">
        <f t="shared" si="29"/>
        <v>2</v>
      </c>
      <c r="E173" s="74">
        <f t="shared" si="29"/>
        <v>2</v>
      </c>
      <c r="F173" s="74">
        <f t="shared" si="29"/>
        <v>2</v>
      </c>
      <c r="G173" s="74">
        <f t="shared" si="29"/>
        <v>2</v>
      </c>
      <c r="H173" s="74">
        <f t="shared" si="29"/>
        <v>2</v>
      </c>
      <c r="I173" s="74">
        <f t="shared" si="29"/>
        <v>2</v>
      </c>
      <c r="J173" s="74">
        <f t="shared" si="29"/>
        <v>2</v>
      </c>
      <c r="K173" s="74">
        <f t="shared" si="29"/>
        <v>2</v>
      </c>
      <c r="L173" s="74">
        <f t="shared" si="29"/>
        <v>2</v>
      </c>
      <c r="M173" s="74">
        <f t="shared" si="29"/>
        <v>2</v>
      </c>
      <c r="N173" s="86"/>
      <c r="O173" s="86"/>
      <c r="P173" s="86"/>
      <c r="Q173" s="86"/>
      <c r="R173" s="86"/>
    </row>
    <row r="174" spans="1:18" x14ac:dyDescent="0.25">
      <c r="A174" s="109" t="s">
        <v>134</v>
      </c>
      <c r="B174" s="50">
        <v>2</v>
      </c>
      <c r="C174" s="50">
        <v>2</v>
      </c>
      <c r="D174" s="50">
        <v>2</v>
      </c>
      <c r="E174" s="50">
        <v>2</v>
      </c>
      <c r="F174" s="50">
        <v>2</v>
      </c>
      <c r="G174" s="50">
        <v>2</v>
      </c>
      <c r="H174" s="50">
        <v>2</v>
      </c>
      <c r="I174" s="73">
        <v>2</v>
      </c>
      <c r="J174" s="73">
        <v>2</v>
      </c>
      <c r="K174" s="73">
        <v>2</v>
      </c>
      <c r="L174" s="50">
        <v>2</v>
      </c>
      <c r="M174" s="50">
        <v>2</v>
      </c>
      <c r="N174" s="50"/>
      <c r="O174" s="50"/>
      <c r="P174" s="50"/>
      <c r="Q174" s="50"/>
      <c r="R174" s="50"/>
    </row>
    <row r="175" spans="1:18" x14ac:dyDescent="0.25">
      <c r="A175" s="109" t="s">
        <v>135</v>
      </c>
      <c r="B175" s="50">
        <v>0</v>
      </c>
      <c r="C175" s="50">
        <v>0</v>
      </c>
      <c r="D175" s="50">
        <v>0</v>
      </c>
      <c r="E175" s="50">
        <v>0</v>
      </c>
      <c r="F175" s="50">
        <v>0</v>
      </c>
      <c r="G175" s="50">
        <v>0</v>
      </c>
      <c r="H175" s="50">
        <v>0</v>
      </c>
      <c r="I175" s="73">
        <v>0</v>
      </c>
      <c r="J175" s="73">
        <v>0</v>
      </c>
      <c r="K175" s="73">
        <v>0</v>
      </c>
      <c r="L175" s="73">
        <v>0</v>
      </c>
      <c r="M175" s="73">
        <v>0</v>
      </c>
      <c r="N175" s="50"/>
      <c r="O175" s="50"/>
      <c r="P175" s="50"/>
      <c r="Q175" s="50"/>
      <c r="R175" s="50"/>
    </row>
    <row r="176" spans="1:18" x14ac:dyDescent="0.25">
      <c r="A176" s="109" t="s">
        <v>136</v>
      </c>
      <c r="B176" s="87">
        <v>0</v>
      </c>
      <c r="C176" s="87">
        <v>0</v>
      </c>
      <c r="D176" s="87">
        <v>0</v>
      </c>
      <c r="E176" s="87">
        <v>0</v>
      </c>
      <c r="F176" s="87">
        <v>0</v>
      </c>
      <c r="G176" s="87">
        <v>0</v>
      </c>
      <c r="H176" s="50">
        <v>0</v>
      </c>
      <c r="I176" s="73">
        <v>0</v>
      </c>
      <c r="J176" s="73">
        <v>0</v>
      </c>
      <c r="K176" s="73">
        <v>0</v>
      </c>
      <c r="L176" s="73">
        <v>0</v>
      </c>
      <c r="M176" s="73">
        <v>0</v>
      </c>
      <c r="N176" s="50"/>
      <c r="O176" s="50"/>
      <c r="P176" s="50"/>
      <c r="Q176" s="50"/>
      <c r="R176" s="50"/>
    </row>
    <row r="177" spans="1:19" x14ac:dyDescent="0.25">
      <c r="A177" s="109" t="s">
        <v>137</v>
      </c>
      <c r="B177" s="87">
        <v>0</v>
      </c>
      <c r="C177" s="87">
        <v>0</v>
      </c>
      <c r="D177" s="87">
        <v>0</v>
      </c>
      <c r="E177" s="87">
        <v>0</v>
      </c>
      <c r="F177" s="87">
        <v>0</v>
      </c>
      <c r="G177" s="87">
        <v>0</v>
      </c>
      <c r="H177" s="50">
        <v>0</v>
      </c>
      <c r="I177" s="73">
        <v>0</v>
      </c>
      <c r="J177" s="73">
        <v>0</v>
      </c>
      <c r="K177" s="73">
        <v>0</v>
      </c>
      <c r="L177" s="73">
        <v>0</v>
      </c>
      <c r="M177" s="73">
        <v>0</v>
      </c>
      <c r="N177" s="50"/>
      <c r="O177" s="50"/>
      <c r="P177" s="50"/>
      <c r="Q177" s="50"/>
      <c r="R177" s="50"/>
    </row>
    <row r="178" spans="1:19" x14ac:dyDescent="0.25">
      <c r="A178" s="109" t="s">
        <v>138</v>
      </c>
      <c r="B178" s="87">
        <v>0</v>
      </c>
      <c r="C178" s="87">
        <v>0</v>
      </c>
      <c r="D178" s="87">
        <v>0</v>
      </c>
      <c r="E178" s="87">
        <v>0</v>
      </c>
      <c r="F178" s="87">
        <v>0</v>
      </c>
      <c r="G178" s="87">
        <v>0</v>
      </c>
      <c r="H178" s="50">
        <v>0</v>
      </c>
      <c r="I178" s="73">
        <v>0</v>
      </c>
      <c r="J178" s="73">
        <v>0</v>
      </c>
      <c r="K178" s="73">
        <v>0</v>
      </c>
      <c r="L178" s="73">
        <v>0</v>
      </c>
      <c r="M178" s="73">
        <v>0</v>
      </c>
      <c r="N178" s="50"/>
      <c r="O178" s="50"/>
      <c r="P178" s="50"/>
      <c r="Q178" s="50"/>
      <c r="R178" s="50"/>
    </row>
    <row r="179" spans="1:19" ht="22.5" customHeight="1" x14ac:dyDescent="0.25">
      <c r="A179" s="114" t="s">
        <v>139</v>
      </c>
      <c r="B179" s="112">
        <v>2</v>
      </c>
      <c r="C179" s="112">
        <v>2</v>
      </c>
      <c r="D179" s="112">
        <v>2</v>
      </c>
      <c r="E179" s="112">
        <v>2</v>
      </c>
      <c r="F179" s="112">
        <v>2</v>
      </c>
      <c r="G179" s="112">
        <v>2</v>
      </c>
      <c r="H179" s="112">
        <v>2</v>
      </c>
      <c r="I179" s="115">
        <v>2</v>
      </c>
      <c r="J179" s="115">
        <v>2</v>
      </c>
      <c r="K179" s="115">
        <v>2</v>
      </c>
      <c r="L179" s="115">
        <v>2</v>
      </c>
      <c r="M179" s="115">
        <v>2</v>
      </c>
      <c r="N179" s="112"/>
      <c r="O179" s="112"/>
      <c r="P179" s="112"/>
      <c r="Q179" s="112"/>
      <c r="R179" s="112"/>
    </row>
    <row r="180" spans="1:19" x14ac:dyDescent="0.25">
      <c r="A180" s="46"/>
      <c r="B180" s="50"/>
      <c r="C180" s="50"/>
      <c r="D180" s="50"/>
      <c r="E180" s="50"/>
      <c r="F180" s="50"/>
      <c r="G180" s="50"/>
      <c r="H180" s="50"/>
      <c r="I180" s="73"/>
      <c r="J180" s="73"/>
      <c r="K180" s="73"/>
      <c r="L180" s="50"/>
      <c r="M180" s="50"/>
      <c r="N180" s="50"/>
      <c r="O180" s="50"/>
      <c r="P180" s="50"/>
      <c r="Q180" s="50"/>
      <c r="R180" s="50"/>
    </row>
    <row r="181" spans="1:19" x14ac:dyDescent="0.25">
      <c r="A181" s="109" t="s">
        <v>140</v>
      </c>
      <c r="B181" s="50">
        <v>2</v>
      </c>
      <c r="C181" s="50">
        <v>2</v>
      </c>
      <c r="D181" s="50">
        <v>2</v>
      </c>
      <c r="E181" s="50">
        <v>2</v>
      </c>
      <c r="F181" s="50">
        <v>2</v>
      </c>
      <c r="G181" s="50">
        <v>2</v>
      </c>
      <c r="H181" s="50">
        <v>2</v>
      </c>
      <c r="I181" s="73">
        <v>2</v>
      </c>
      <c r="J181" s="73">
        <v>2</v>
      </c>
      <c r="K181" s="73">
        <v>2</v>
      </c>
      <c r="L181" s="73">
        <v>2</v>
      </c>
      <c r="M181" s="73">
        <v>2</v>
      </c>
      <c r="N181" s="50"/>
      <c r="O181" s="50"/>
      <c r="P181" s="50"/>
      <c r="Q181" s="50"/>
      <c r="R181" s="50"/>
    </row>
    <row r="182" spans="1:19" ht="16.5" x14ac:dyDescent="0.25">
      <c r="A182" s="109" t="s">
        <v>159</v>
      </c>
      <c r="B182" s="50">
        <v>733</v>
      </c>
      <c r="C182" s="50">
        <v>733</v>
      </c>
      <c r="D182" s="50">
        <v>733</v>
      </c>
      <c r="E182" s="50">
        <v>733</v>
      </c>
      <c r="F182" s="50">
        <v>733</v>
      </c>
      <c r="G182" s="50">
        <v>733</v>
      </c>
      <c r="H182" s="50">
        <v>733</v>
      </c>
      <c r="I182" s="50">
        <v>733</v>
      </c>
      <c r="J182" s="50">
        <v>733</v>
      </c>
      <c r="K182" s="50">
        <v>733</v>
      </c>
      <c r="L182" s="50">
        <v>733</v>
      </c>
      <c r="M182" s="50">
        <v>733</v>
      </c>
      <c r="N182" s="50"/>
      <c r="O182" s="50"/>
      <c r="P182" s="50"/>
      <c r="Q182" s="50"/>
      <c r="R182" s="50"/>
    </row>
    <row r="183" spans="1:19" x14ac:dyDescent="0.25">
      <c r="A183" s="88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</row>
    <row r="184" spans="1:19" x14ac:dyDescent="0.25">
      <c r="A184" s="90"/>
      <c r="B184" s="89"/>
      <c r="C184" s="89"/>
      <c r="D184" s="89"/>
      <c r="E184" s="89"/>
      <c r="F184" s="89"/>
      <c r="G184" s="89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</row>
    <row r="185" spans="1:19" x14ac:dyDescent="0.25">
      <c r="A185" s="37" t="s">
        <v>141</v>
      </c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spans="1:19" ht="15.75" x14ac:dyDescent="0.25">
      <c r="A186" s="54" t="s">
        <v>142</v>
      </c>
      <c r="B186" s="71">
        <f>SUM(B187:B192)</f>
        <v>10</v>
      </c>
      <c r="C186" s="71">
        <f>SUM(C187:C192)</f>
        <v>10</v>
      </c>
      <c r="D186" s="71">
        <f>SUM(D187:D192)</f>
        <v>10</v>
      </c>
      <c r="E186" s="71">
        <f t="shared" ref="E186:M186" si="30">SUM(E187:E192)</f>
        <v>10</v>
      </c>
      <c r="F186" s="71">
        <f t="shared" si="30"/>
        <v>10</v>
      </c>
      <c r="G186" s="71">
        <f t="shared" si="30"/>
        <v>10</v>
      </c>
      <c r="H186" s="71">
        <f t="shared" si="30"/>
        <v>10</v>
      </c>
      <c r="I186" s="71">
        <f t="shared" si="30"/>
        <v>10</v>
      </c>
      <c r="J186" s="71">
        <f t="shared" si="30"/>
        <v>10</v>
      </c>
      <c r="K186" s="71">
        <f t="shared" si="30"/>
        <v>10</v>
      </c>
      <c r="L186" s="71">
        <f t="shared" si="30"/>
        <v>10</v>
      </c>
      <c r="M186" s="71">
        <f t="shared" si="30"/>
        <v>10</v>
      </c>
      <c r="N186" s="71">
        <f>SUM(B186:M186)</f>
        <v>120</v>
      </c>
      <c r="O186" s="71"/>
      <c r="P186" s="71"/>
      <c r="Q186" s="71"/>
      <c r="R186" s="71"/>
    </row>
    <row r="187" spans="1:19" x14ac:dyDescent="0.25">
      <c r="A187" s="106" t="s">
        <v>143</v>
      </c>
      <c r="B187" s="50">
        <v>4</v>
      </c>
      <c r="C187" s="50">
        <v>4</v>
      </c>
      <c r="D187" s="50">
        <v>4</v>
      </c>
      <c r="E187" s="50">
        <v>4</v>
      </c>
      <c r="F187" s="50">
        <v>4</v>
      </c>
      <c r="G187" s="50">
        <v>4</v>
      </c>
      <c r="H187" s="50">
        <v>4</v>
      </c>
      <c r="I187" s="50">
        <v>4</v>
      </c>
      <c r="J187" s="50">
        <v>4</v>
      </c>
      <c r="K187" s="50">
        <v>4</v>
      </c>
      <c r="L187" s="50">
        <v>4</v>
      </c>
      <c r="M187" s="50">
        <v>4</v>
      </c>
      <c r="N187" s="50"/>
      <c r="O187" s="50"/>
      <c r="P187" s="50"/>
      <c r="Q187" s="50"/>
      <c r="R187" s="50"/>
      <c r="S187" s="118">
        <v>18</v>
      </c>
    </row>
    <row r="188" spans="1:19" x14ac:dyDescent="0.25">
      <c r="A188" s="106" t="s">
        <v>144</v>
      </c>
      <c r="B188" s="50">
        <v>0</v>
      </c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73"/>
      <c r="N188" s="50"/>
      <c r="O188" s="50"/>
      <c r="P188" s="50"/>
      <c r="Q188" s="50"/>
      <c r="R188" s="50"/>
      <c r="S188" s="118">
        <v>17</v>
      </c>
    </row>
    <row r="189" spans="1:19" x14ac:dyDescent="0.25">
      <c r="A189" s="106" t="s">
        <v>145</v>
      </c>
      <c r="B189" s="50">
        <v>0</v>
      </c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73"/>
      <c r="N189" s="50"/>
      <c r="O189" s="50"/>
      <c r="P189" s="50"/>
      <c r="Q189" s="50"/>
      <c r="R189" s="50"/>
      <c r="S189" s="118">
        <v>18</v>
      </c>
    </row>
    <row r="190" spans="1:19" x14ac:dyDescent="0.25">
      <c r="A190" s="106" t="s">
        <v>144</v>
      </c>
      <c r="B190" s="50">
        <v>0</v>
      </c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73"/>
      <c r="N190" s="50"/>
      <c r="O190" s="50"/>
      <c r="P190" s="50"/>
      <c r="Q190" s="50"/>
      <c r="R190" s="50"/>
      <c r="S190" s="118">
        <v>17</v>
      </c>
    </row>
    <row r="191" spans="1:19" x14ac:dyDescent="0.25">
      <c r="A191" s="106" t="s">
        <v>146</v>
      </c>
      <c r="B191" s="50">
        <v>6</v>
      </c>
      <c r="C191" s="50">
        <v>6</v>
      </c>
      <c r="D191" s="50">
        <v>6</v>
      </c>
      <c r="E191" s="50">
        <v>6</v>
      </c>
      <c r="F191" s="50">
        <v>6</v>
      </c>
      <c r="G191" s="50">
        <v>6</v>
      </c>
      <c r="H191" s="50">
        <v>6</v>
      </c>
      <c r="I191" s="50">
        <v>6</v>
      </c>
      <c r="J191" s="50">
        <v>6</v>
      </c>
      <c r="K191" s="50">
        <v>6</v>
      </c>
      <c r="L191" s="50">
        <v>6</v>
      </c>
      <c r="M191" s="73">
        <v>6</v>
      </c>
      <c r="N191" s="71">
        <f>SUM(B191:M191)</f>
        <v>72</v>
      </c>
      <c r="O191" s="50"/>
      <c r="P191" s="50"/>
      <c r="Q191" s="50"/>
      <c r="R191" s="21"/>
      <c r="S191" s="118">
        <v>18</v>
      </c>
    </row>
    <row r="192" spans="1:19" x14ac:dyDescent="0.25">
      <c r="A192" s="106" t="s">
        <v>144</v>
      </c>
      <c r="B192" s="50">
        <v>0</v>
      </c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73"/>
      <c r="N192" s="50"/>
      <c r="O192" s="50"/>
      <c r="P192" s="50"/>
      <c r="Q192" s="50"/>
      <c r="R192" s="21"/>
      <c r="S192" s="118">
        <v>17</v>
      </c>
    </row>
    <row r="193" spans="1:19" ht="15.75" x14ac:dyDescent="0.25">
      <c r="A193" s="116" t="s">
        <v>160</v>
      </c>
      <c r="B193" s="50">
        <v>0</v>
      </c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73"/>
      <c r="N193" s="50"/>
      <c r="O193" s="50"/>
      <c r="P193" s="50"/>
      <c r="Q193" s="50"/>
      <c r="R193" s="21"/>
      <c r="S193" s="118">
        <v>20</v>
      </c>
    </row>
    <row r="194" spans="1:19" x14ac:dyDescent="0.25">
      <c r="A194" s="107" t="s">
        <v>147</v>
      </c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21"/>
      <c r="S194" s="118">
        <v>19</v>
      </c>
    </row>
    <row r="195" spans="1:19" x14ac:dyDescent="0.25">
      <c r="A195" s="92"/>
      <c r="B195" s="93"/>
      <c r="C195" s="93"/>
      <c r="D195" s="93"/>
      <c r="E195" s="93"/>
      <c r="F195" s="93"/>
      <c r="G195" s="93"/>
      <c r="H195" s="93"/>
      <c r="I195" s="94"/>
      <c r="J195" s="93"/>
      <c r="K195" s="93"/>
      <c r="L195" s="93"/>
      <c r="M195" s="93"/>
      <c r="N195" s="93"/>
      <c r="O195" s="93"/>
      <c r="P195" s="93"/>
      <c r="Q195" s="93"/>
      <c r="R195" s="21"/>
    </row>
    <row r="196" spans="1:19" x14ac:dyDescent="0.25">
      <c r="A196" s="37" t="s">
        <v>148</v>
      </c>
      <c r="B196" s="95"/>
      <c r="C196" s="95"/>
      <c r="D196" s="95"/>
      <c r="E196" s="95"/>
      <c r="F196" s="95"/>
      <c r="G196" s="95"/>
      <c r="H196" s="95"/>
      <c r="I196" s="96"/>
      <c r="J196" s="95"/>
      <c r="K196" s="95"/>
      <c r="L196" s="97"/>
      <c r="M196" s="95"/>
      <c r="N196" s="95"/>
      <c r="O196" s="95"/>
      <c r="P196" s="95"/>
      <c r="Q196" s="95"/>
      <c r="R196" s="21"/>
    </row>
    <row r="197" spans="1:19" x14ac:dyDescent="0.25">
      <c r="A197" s="109" t="s">
        <v>149</v>
      </c>
      <c r="B197" s="50">
        <v>3</v>
      </c>
      <c r="C197" s="50">
        <v>4</v>
      </c>
      <c r="D197" s="50">
        <v>4</v>
      </c>
      <c r="E197" s="50">
        <v>2</v>
      </c>
      <c r="F197" s="50">
        <v>2</v>
      </c>
      <c r="G197" s="50">
        <v>3</v>
      </c>
      <c r="H197" s="83">
        <v>3</v>
      </c>
      <c r="I197" s="83">
        <v>3</v>
      </c>
      <c r="J197" s="83">
        <v>4</v>
      </c>
      <c r="K197" s="98">
        <v>4</v>
      </c>
      <c r="L197" s="98">
        <v>4</v>
      </c>
      <c r="M197" s="84">
        <v>4</v>
      </c>
      <c r="N197" s="71">
        <f>SUM(B197:M197)</f>
        <v>40</v>
      </c>
      <c r="O197" s="50"/>
      <c r="P197" s="50"/>
      <c r="Q197" s="50"/>
      <c r="R197" s="21"/>
    </row>
    <row r="198" spans="1:19" x14ac:dyDescent="0.25">
      <c r="A198" s="109" t="s">
        <v>150</v>
      </c>
      <c r="B198" s="50">
        <v>18</v>
      </c>
      <c r="C198" s="50">
        <v>41</v>
      </c>
      <c r="D198" s="50">
        <v>40</v>
      </c>
      <c r="E198" s="50">
        <v>25</v>
      </c>
      <c r="F198" s="50">
        <v>27</v>
      </c>
      <c r="G198" s="50">
        <v>21</v>
      </c>
      <c r="H198" s="83">
        <v>30</v>
      </c>
      <c r="I198" s="83">
        <v>27</v>
      </c>
      <c r="J198" s="83">
        <v>31</v>
      </c>
      <c r="K198" s="98">
        <v>28</v>
      </c>
      <c r="L198" s="98">
        <v>26</v>
      </c>
      <c r="M198" s="84">
        <v>21</v>
      </c>
      <c r="N198" s="71">
        <f t="shared" ref="N198:N203" si="31">SUM(B198:M198)</f>
        <v>335</v>
      </c>
      <c r="O198" s="50"/>
      <c r="P198" s="50"/>
      <c r="Q198" s="50"/>
      <c r="R198" s="21"/>
    </row>
    <row r="199" spans="1:19" x14ac:dyDescent="0.25">
      <c r="A199" s="109" t="s">
        <v>151</v>
      </c>
      <c r="B199" s="50">
        <v>18</v>
      </c>
      <c r="C199" s="50">
        <v>41</v>
      </c>
      <c r="D199" s="50">
        <v>40</v>
      </c>
      <c r="E199" s="50">
        <v>25</v>
      </c>
      <c r="F199" s="50">
        <v>27</v>
      </c>
      <c r="G199" s="50">
        <v>21</v>
      </c>
      <c r="H199" s="83">
        <v>30</v>
      </c>
      <c r="I199" s="83">
        <v>27</v>
      </c>
      <c r="J199" s="83">
        <v>31</v>
      </c>
      <c r="K199" s="98">
        <v>28</v>
      </c>
      <c r="L199" s="98">
        <v>26</v>
      </c>
      <c r="M199" s="84">
        <v>21</v>
      </c>
      <c r="N199" s="71">
        <f t="shared" si="31"/>
        <v>335</v>
      </c>
      <c r="O199" s="50"/>
      <c r="P199" s="50"/>
      <c r="Q199" s="50"/>
      <c r="R199" s="21"/>
    </row>
    <row r="200" spans="1:19" x14ac:dyDescent="0.25">
      <c r="A200" s="109" t="s">
        <v>152</v>
      </c>
      <c r="B200" s="50"/>
      <c r="C200" s="50"/>
      <c r="D200" s="50"/>
      <c r="E200" s="50"/>
      <c r="F200" s="50"/>
      <c r="G200" s="50"/>
      <c r="H200" s="83"/>
      <c r="I200" s="83"/>
      <c r="J200" s="83"/>
      <c r="K200" s="98"/>
      <c r="L200" s="83"/>
      <c r="M200" s="84"/>
      <c r="N200" s="50"/>
      <c r="O200" s="50"/>
      <c r="P200" s="50"/>
      <c r="Q200" s="50"/>
      <c r="R200" s="21"/>
    </row>
    <row r="201" spans="1:19" x14ac:dyDescent="0.25">
      <c r="A201" s="109" t="s">
        <v>153</v>
      </c>
      <c r="B201" s="50">
        <v>76</v>
      </c>
      <c r="C201" s="50">
        <v>125</v>
      </c>
      <c r="D201" s="50">
        <v>165</v>
      </c>
      <c r="E201" s="50">
        <v>122</v>
      </c>
      <c r="F201" s="50">
        <v>136</v>
      </c>
      <c r="G201" s="50">
        <v>134</v>
      </c>
      <c r="H201" s="83">
        <v>125</v>
      </c>
      <c r="I201" s="83">
        <v>111</v>
      </c>
      <c r="J201" s="83">
        <v>107</v>
      </c>
      <c r="K201" s="98">
        <v>99</v>
      </c>
      <c r="L201" s="98">
        <v>84</v>
      </c>
      <c r="M201" s="84">
        <v>73</v>
      </c>
      <c r="N201" s="71">
        <f t="shared" si="31"/>
        <v>1357</v>
      </c>
      <c r="O201" s="50"/>
      <c r="P201" s="50"/>
      <c r="Q201" s="50"/>
      <c r="R201" s="21"/>
    </row>
    <row r="202" spans="1:19" x14ac:dyDescent="0.25">
      <c r="A202" s="109" t="s">
        <v>154</v>
      </c>
      <c r="B202" s="50">
        <v>76</v>
      </c>
      <c r="C202" s="50">
        <v>125</v>
      </c>
      <c r="D202" s="50">
        <v>165</v>
      </c>
      <c r="E202" s="50">
        <v>122</v>
      </c>
      <c r="F202" s="50">
        <v>136</v>
      </c>
      <c r="G202" s="50">
        <v>134</v>
      </c>
      <c r="H202" s="83">
        <v>125</v>
      </c>
      <c r="I202" s="83">
        <v>111</v>
      </c>
      <c r="J202" s="83">
        <v>107</v>
      </c>
      <c r="K202" s="98">
        <v>99</v>
      </c>
      <c r="L202" s="98">
        <v>84</v>
      </c>
      <c r="M202" s="84">
        <v>73</v>
      </c>
      <c r="N202" s="71">
        <f t="shared" si="31"/>
        <v>1357</v>
      </c>
      <c r="O202" s="50"/>
      <c r="P202" s="50"/>
      <c r="Q202" s="50"/>
      <c r="R202" s="21"/>
    </row>
    <row r="203" spans="1:19" x14ac:dyDescent="0.25">
      <c r="A203" s="109" t="s">
        <v>155</v>
      </c>
      <c r="B203" s="50">
        <v>3121</v>
      </c>
      <c r="C203" s="50">
        <v>3130</v>
      </c>
      <c r="D203" s="50">
        <f>D111</f>
        <v>3147</v>
      </c>
      <c r="E203" s="50">
        <f t="shared" ref="E203:K203" si="32">E111</f>
        <v>3153</v>
      </c>
      <c r="F203" s="50">
        <f t="shared" si="32"/>
        <v>3158</v>
      </c>
      <c r="G203" s="50">
        <v>3170</v>
      </c>
      <c r="H203" s="50">
        <f t="shared" si="32"/>
        <v>3175</v>
      </c>
      <c r="I203" s="50">
        <f t="shared" si="32"/>
        <v>3176</v>
      </c>
      <c r="J203" s="50">
        <f t="shared" si="32"/>
        <v>3189</v>
      </c>
      <c r="K203" s="50">
        <f t="shared" si="32"/>
        <v>3192</v>
      </c>
      <c r="L203" s="50">
        <v>3194</v>
      </c>
      <c r="M203" s="50">
        <v>3195</v>
      </c>
      <c r="N203" s="71">
        <f t="shared" si="31"/>
        <v>38000</v>
      </c>
      <c r="O203" s="50"/>
      <c r="P203" s="50"/>
      <c r="Q203" s="50"/>
      <c r="R203" s="21"/>
      <c r="S203" s="118">
        <v>13</v>
      </c>
    </row>
    <row r="204" spans="1:19" x14ac:dyDescent="0.25">
      <c r="A204" s="117" t="s">
        <v>156</v>
      </c>
      <c r="B204" s="99">
        <v>0</v>
      </c>
      <c r="C204" s="99">
        <v>0</v>
      </c>
      <c r="D204" s="99">
        <v>0</v>
      </c>
      <c r="E204" s="99"/>
      <c r="F204" s="99"/>
      <c r="G204" s="99"/>
      <c r="H204" s="100"/>
      <c r="I204" s="100"/>
      <c r="J204" s="100">
        <v>0</v>
      </c>
      <c r="K204" s="100">
        <v>0</v>
      </c>
      <c r="L204" s="100">
        <v>0</v>
      </c>
      <c r="M204" s="101">
        <v>0</v>
      </c>
      <c r="N204" s="99">
        <v>0</v>
      </c>
      <c r="O204" s="99"/>
      <c r="P204" s="99"/>
      <c r="Q204" s="99"/>
      <c r="R204" s="21"/>
    </row>
    <row r="206" spans="1:19" x14ac:dyDescent="0.25">
      <c r="A206" s="140" t="s">
        <v>170</v>
      </c>
      <c r="B206" s="141"/>
      <c r="C206" s="141"/>
      <c r="D206" s="141"/>
      <c r="E206" s="141"/>
      <c r="F206" s="141"/>
    </row>
    <row r="207" spans="1:19" x14ac:dyDescent="0.25">
      <c r="A207" s="141"/>
      <c r="B207" s="141"/>
      <c r="C207" s="141"/>
      <c r="D207" s="141"/>
      <c r="E207" s="141"/>
      <c r="F207" s="141"/>
    </row>
    <row r="208" spans="1:19" x14ac:dyDescent="0.25">
      <c r="A208" s="141"/>
      <c r="B208" s="141"/>
      <c r="C208" s="141"/>
      <c r="D208" s="141"/>
      <c r="E208" s="141"/>
      <c r="F208" s="141"/>
    </row>
    <row r="209" spans="1:6" x14ac:dyDescent="0.25">
      <c r="A209" s="141" t="s">
        <v>171</v>
      </c>
      <c r="B209" s="141"/>
      <c r="C209" s="141"/>
      <c r="D209" s="141"/>
      <c r="E209" s="141"/>
      <c r="F209" s="141"/>
    </row>
    <row r="210" spans="1:6" x14ac:dyDescent="0.25">
      <c r="A210" s="140" t="s">
        <v>172</v>
      </c>
      <c r="B210" s="141"/>
      <c r="C210" s="141" t="s">
        <v>173</v>
      </c>
      <c r="D210" s="141"/>
      <c r="E210" s="141"/>
      <c r="F210" s="141"/>
    </row>
    <row r="211" spans="1:6" x14ac:dyDescent="0.25">
      <c r="A211" s="142" t="s">
        <v>174</v>
      </c>
      <c r="B211" s="141"/>
      <c r="C211" s="141" t="s">
        <v>175</v>
      </c>
      <c r="D211" s="141"/>
      <c r="E211" s="141"/>
      <c r="F211" s="141"/>
    </row>
    <row r="212" spans="1:6" x14ac:dyDescent="0.25">
      <c r="A212" s="143" t="s">
        <v>176</v>
      </c>
      <c r="B212" s="141"/>
      <c r="C212" s="141" t="s">
        <v>177</v>
      </c>
      <c r="D212" s="141"/>
      <c r="E212" s="141"/>
      <c r="F212" s="141"/>
    </row>
  </sheetData>
  <mergeCells count="5">
    <mergeCell ref="A1:R1"/>
    <mergeCell ref="A3:R3"/>
    <mergeCell ref="A4:R4"/>
    <mergeCell ref="A6:R6"/>
    <mergeCell ref="A7:R7"/>
  </mergeCells>
  <printOptions horizontalCentered="1"/>
  <pageMargins left="0.25" right="0.25" top="0.75" bottom="0.75" header="0.3" footer="0.3"/>
  <pageSetup scale="49" orientation="landscape" r:id="rId1"/>
  <rowBreaks count="1" manualBreakCount="1">
    <brk id="102" max="17" man="1"/>
  </rowBreaks>
  <colBreaks count="1" manualBreakCount="1"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PIGOO</vt:lpstr>
      <vt:lpstr>PIGOO!Área_de_impresión</vt:lpstr>
      <vt:lpstr>PIGOO!Títulos_a_imprimir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Esparza</dc:creator>
  <cp:lastModifiedBy>Tesoreria</cp:lastModifiedBy>
  <cp:lastPrinted>2023-02-01T20:16:14Z</cp:lastPrinted>
  <dcterms:created xsi:type="dcterms:W3CDTF">2018-04-02T17:47:44Z</dcterms:created>
  <dcterms:modified xsi:type="dcterms:W3CDTF">2023-02-01T20:16:31Z</dcterms:modified>
</cp:coreProperties>
</file>